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cknerj\Downloads\"/>
    </mc:Choice>
  </mc:AlternateContent>
  <workbookProtection lockStructure="1"/>
  <bookViews>
    <workbookView xWindow="0" yWindow="0" windowWidth="28800" windowHeight="14040" tabRatio="853"/>
  </bookViews>
  <sheets>
    <sheet name="ToC" sheetId="3" r:id="rId1"/>
    <sheet name="Start" sheetId="18" r:id="rId2"/>
    <sheet name="Costing" sheetId="25" r:id="rId3"/>
    <sheet name="PIO | Workstation" sheetId="22" r:id="rId4"/>
    <sheet name="List" sheetId="23" state="hidden" r:id="rId5"/>
    <sheet name="PIO | Touchdown" sheetId="17" r:id="rId6"/>
    <sheet name="PIO | Focus" sheetId="16" r:id="rId7"/>
    <sheet name="PIE | Focus" sheetId="9" r:id="rId8"/>
    <sheet name="PIE | Study" sheetId="10" r:id="rId9"/>
    <sheet name="SI | Phone" sheetId="12" r:id="rId10"/>
    <sheet name="SI | Reflection" sheetId="11" r:id="rId11"/>
    <sheet name="CO | Chat" sheetId="6" r:id="rId12"/>
    <sheet name="CO | Huddle" sheetId="7" r:id="rId13"/>
    <sheet name="CO | Lounge" sheetId="8" r:id="rId14"/>
    <sheet name="CO | Teaming" sheetId="5" r:id="rId15"/>
    <sheet name="CE | Meeting" sheetId="15" r:id="rId16"/>
    <sheet name="CE | Project" sheetId="2" r:id="rId17"/>
    <sheet name="CE | Work" sheetId="4" r:id="rId18"/>
    <sheet name="SS | Filing" sheetId="14" r:id="rId19"/>
    <sheet name="SS | Lockers" sheetId="13" r:id="rId20"/>
  </sheets>
  <calcPr calcId="152511"/>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11" l="1"/>
  <c r="N13" i="11"/>
  <c r="N34" i="10"/>
  <c r="M26" i="22"/>
  <c r="N37" i="16" l="1"/>
  <c r="N38" i="10"/>
  <c r="N16" i="10"/>
  <c r="N10" i="10"/>
  <c r="N10" i="9"/>
  <c r="N12" i="9"/>
  <c r="N11" i="9"/>
  <c r="M144" i="22" l="1"/>
  <c r="M143" i="22"/>
  <c r="M95" i="22"/>
  <c r="M94" i="22"/>
  <c r="M70" i="22"/>
  <c r="M69" i="22"/>
  <c r="M22" i="22"/>
  <c r="M21" i="22"/>
  <c r="N10" i="14"/>
  <c r="M148" i="22"/>
  <c r="M68" i="22"/>
  <c r="M19" i="22"/>
  <c r="M74" i="22"/>
  <c r="M99" i="22"/>
  <c r="M149" i="22"/>
  <c r="M142" i="22"/>
  <c r="C58" i="12"/>
  <c r="N64" i="12"/>
  <c r="L141" i="22" l="1"/>
  <c r="L140" i="22"/>
  <c r="F53" i="25" l="1"/>
  <c r="F54" i="25"/>
  <c r="F52" i="25"/>
  <c r="F51" i="25"/>
  <c r="F50" i="25"/>
  <c r="F49" i="25"/>
  <c r="F48" i="25"/>
  <c r="F47" i="25"/>
  <c r="F46" i="25"/>
  <c r="F41" i="25"/>
  <c r="F42" i="25"/>
  <c r="F43" i="25"/>
  <c r="F40" i="25"/>
  <c r="F39" i="25"/>
  <c r="F38" i="25"/>
  <c r="F37" i="25"/>
  <c r="F36" i="25"/>
  <c r="F35" i="25"/>
  <c r="F34" i="25"/>
  <c r="F33" i="25"/>
  <c r="F32" i="25"/>
  <c r="F31" i="25"/>
  <c r="F30" i="25"/>
  <c r="F29" i="25"/>
  <c r="F28" i="25"/>
  <c r="F27" i="25"/>
  <c r="F58" i="25"/>
  <c r="F57" i="25"/>
  <c r="F24" i="25"/>
  <c r="F23" i="25"/>
  <c r="F22" i="25"/>
  <c r="F21" i="25"/>
  <c r="F18" i="25"/>
  <c r="F17" i="25"/>
  <c r="F16" i="25"/>
  <c r="F15" i="25"/>
  <c r="F12" i="25"/>
  <c r="F11" i="25"/>
  <c r="F10" i="25"/>
  <c r="F9" i="25"/>
  <c r="M145" i="22"/>
  <c r="M96" i="22"/>
  <c r="M71" i="22"/>
  <c r="M23" i="22"/>
  <c r="E149" i="22" l="1"/>
  <c r="E99" i="22"/>
  <c r="E74" i="22"/>
  <c r="E26" i="22"/>
  <c r="N148" i="22" l="1"/>
  <c r="L148" i="22"/>
  <c r="N142" i="22"/>
  <c r="L142" i="22"/>
  <c r="L138" i="22"/>
  <c r="M138" i="22" s="1"/>
  <c r="L137" i="22"/>
  <c r="M137" i="22" s="1"/>
  <c r="L136" i="22"/>
  <c r="M136" i="22" s="1"/>
  <c r="N149" i="22"/>
  <c r="L149" i="22"/>
  <c r="I149" i="22"/>
  <c r="H149" i="22"/>
  <c r="G149" i="22"/>
  <c r="N147" i="22"/>
  <c r="L147" i="22"/>
  <c r="M147" i="22" s="1"/>
  <c r="N144" i="22"/>
  <c r="L144" i="22"/>
  <c r="N143" i="22"/>
  <c r="L143" i="22"/>
  <c r="G140" i="22"/>
  <c r="M140" i="22" s="1"/>
  <c r="G138" i="22"/>
  <c r="L139" i="22" s="1"/>
  <c r="M139" i="22" s="1"/>
  <c r="G136" i="22"/>
  <c r="N93" i="22"/>
  <c r="L93" i="22"/>
  <c r="M93" i="22" s="1"/>
  <c r="N99" i="22"/>
  <c r="L99" i="22"/>
  <c r="I99" i="22"/>
  <c r="H99" i="22"/>
  <c r="G99" i="22"/>
  <c r="N98" i="22"/>
  <c r="L98" i="22"/>
  <c r="M98" i="22" s="1"/>
  <c r="N95" i="22"/>
  <c r="L95" i="22"/>
  <c r="N94" i="22"/>
  <c r="L94" i="22"/>
  <c r="G91" i="22"/>
  <c r="L92" i="22" s="1"/>
  <c r="M92" i="22" s="1"/>
  <c r="G89" i="22"/>
  <c r="L90" i="22" s="1"/>
  <c r="M90" i="22" s="1"/>
  <c r="M141" i="22" l="1"/>
  <c r="C129" i="22" s="1"/>
  <c r="L89" i="22"/>
  <c r="M89" i="22" s="1"/>
  <c r="N140" i="22"/>
  <c r="L91" i="22"/>
  <c r="M91" i="22" s="1"/>
  <c r="F7" i="25" l="1"/>
  <c r="C82" i="22"/>
  <c r="F8" i="25"/>
  <c r="N68" i="22"/>
  <c r="L68" i="22"/>
  <c r="N74" i="22"/>
  <c r="L74" i="22"/>
  <c r="I74" i="22"/>
  <c r="H74" i="22"/>
  <c r="G74" i="22"/>
  <c r="N73" i="22"/>
  <c r="L73" i="22"/>
  <c r="M73" i="22" s="1"/>
  <c r="N70" i="22"/>
  <c r="L70" i="22"/>
  <c r="N69" i="22"/>
  <c r="L69" i="22"/>
  <c r="G67" i="22"/>
  <c r="L67" i="22" s="1"/>
  <c r="I26" i="22"/>
  <c r="H26" i="22"/>
  <c r="G26" i="22"/>
  <c r="N26" i="22"/>
  <c r="L16" i="22"/>
  <c r="M16" i="22" s="1"/>
  <c r="L20" i="22"/>
  <c r="M20" i="22" s="1"/>
  <c r="N20" i="22"/>
  <c r="N19" i="22"/>
  <c r="L19" i="22"/>
  <c r="G13" i="22"/>
  <c r="L14" i="22" s="1"/>
  <c r="M14" i="22" s="1"/>
  <c r="G11" i="22"/>
  <c r="G17" i="22"/>
  <c r="L18" i="22" s="1"/>
  <c r="M18" i="22" s="1"/>
  <c r="L26" i="22"/>
  <c r="N25" i="22"/>
  <c r="L25" i="22"/>
  <c r="M25" i="22" s="1"/>
  <c r="N22" i="22"/>
  <c r="L22" i="22"/>
  <c r="N21" i="22"/>
  <c r="L21" i="22"/>
  <c r="N15" i="22"/>
  <c r="L15" i="22"/>
  <c r="M15" i="22" s="1"/>
  <c r="L12" i="22" l="1"/>
  <c r="M12" i="22" s="1"/>
  <c r="L11" i="22"/>
  <c r="M11" i="22" s="1"/>
  <c r="E67" i="22"/>
  <c r="N67" i="22"/>
  <c r="M67" i="22"/>
  <c r="F6" i="25" s="1"/>
  <c r="L13" i="22"/>
  <c r="M13" i="22" s="1"/>
  <c r="L17" i="22"/>
  <c r="M17" i="22" s="1"/>
  <c r="N17" i="22"/>
  <c r="C4" i="22" l="1"/>
  <c r="F5" i="25"/>
  <c r="C60" i="22"/>
  <c r="N64" i="7" l="1"/>
  <c r="C58" i="7" s="1"/>
  <c r="N54" i="5" l="1"/>
  <c r="N55" i="5"/>
  <c r="N38" i="5"/>
  <c r="N37" i="5"/>
  <c r="N36" i="5"/>
  <c r="N33" i="5"/>
  <c r="N32" i="5"/>
  <c r="N16" i="5"/>
  <c r="N15" i="5"/>
  <c r="N14" i="5"/>
  <c r="N12" i="5"/>
  <c r="N10" i="5"/>
  <c r="N12" i="13"/>
  <c r="N10" i="13"/>
  <c r="N15" i="14"/>
  <c r="N14" i="14"/>
  <c r="N39" i="2"/>
  <c r="N38" i="2"/>
  <c r="N37" i="2"/>
  <c r="N36" i="2"/>
  <c r="N35" i="2"/>
  <c r="N89" i="15"/>
  <c r="N90" i="15"/>
  <c r="N63" i="15"/>
  <c r="N62" i="15"/>
  <c r="N193" i="8"/>
  <c r="N194" i="8"/>
  <c r="N143" i="8"/>
  <c r="N141" i="8"/>
  <c r="N115" i="8"/>
  <c r="N114" i="8"/>
  <c r="N63" i="8"/>
  <c r="N62" i="8"/>
  <c r="N39" i="8"/>
  <c r="N38" i="8"/>
  <c r="N37" i="8"/>
  <c r="N10" i="6"/>
  <c r="N11" i="6"/>
  <c r="N18" i="10" l="1"/>
  <c r="N17" i="10"/>
  <c r="N15" i="10"/>
  <c r="N14" i="10"/>
  <c r="N13" i="10"/>
  <c r="N12" i="10"/>
  <c r="N11" i="10"/>
  <c r="N39" i="10"/>
  <c r="N37" i="10"/>
  <c r="N36" i="10"/>
  <c r="N35" i="10"/>
  <c r="N33" i="10"/>
  <c r="N32" i="10"/>
  <c r="N10" i="12" l="1"/>
  <c r="N11" i="12"/>
  <c r="N12" i="11"/>
  <c r="N10" i="11"/>
  <c r="N38" i="16" l="1"/>
  <c r="N39" i="16"/>
  <c r="N38" i="17"/>
  <c r="C31" i="4" l="1"/>
  <c r="C4" i="4"/>
  <c r="C4" i="13"/>
  <c r="N37" i="7"/>
  <c r="N38" i="7"/>
  <c r="N38" i="6"/>
  <c r="N37" i="6"/>
  <c r="N38" i="12"/>
  <c r="N37" i="12"/>
  <c r="C26" i="10"/>
  <c r="C28" i="9"/>
  <c r="C4" i="9"/>
  <c r="C4" i="17"/>
  <c r="C31" i="7" l="1"/>
  <c r="C31" i="6"/>
  <c r="C31" i="12"/>
  <c r="N11" i="17" l="1"/>
  <c r="N10" i="17"/>
  <c r="N39" i="17"/>
  <c r="C31" i="17" s="1"/>
  <c r="N37" i="17"/>
  <c r="C31" i="16"/>
  <c r="N11" i="16"/>
  <c r="N10" i="16"/>
  <c r="C4" i="16" s="1"/>
  <c r="N221" i="8" l="1"/>
  <c r="N220" i="8"/>
  <c r="C214" i="8" s="1"/>
  <c r="N167" i="8"/>
  <c r="N166" i="8"/>
  <c r="C160" i="8" s="1"/>
  <c r="N144" i="8"/>
  <c r="N142" i="8"/>
  <c r="C108" i="8"/>
  <c r="N88" i="8"/>
  <c r="N87" i="8"/>
  <c r="C81" i="8" s="1"/>
  <c r="N61" i="8"/>
  <c r="N36" i="8"/>
  <c r="N12" i="8"/>
  <c r="N11" i="8"/>
  <c r="N10" i="8"/>
  <c r="N13" i="14"/>
  <c r="N12" i="14"/>
  <c r="N11" i="14"/>
  <c r="C4" i="14" s="1"/>
  <c r="N13" i="13"/>
  <c r="N11" i="13"/>
  <c r="N39" i="4"/>
  <c r="N38" i="4"/>
  <c r="N37" i="4"/>
  <c r="N11" i="2"/>
  <c r="N11" i="4"/>
  <c r="N10" i="2"/>
  <c r="N10" i="4"/>
  <c r="N58" i="2"/>
  <c r="N57" i="2"/>
  <c r="N34" i="2"/>
  <c r="N14" i="2"/>
  <c r="N13" i="2"/>
  <c r="N12" i="2"/>
  <c r="C83" i="15"/>
  <c r="C56" i="15"/>
  <c r="N13" i="15"/>
  <c r="N12" i="15"/>
  <c r="N11" i="15"/>
  <c r="N10" i="15"/>
  <c r="N36" i="15"/>
  <c r="N35" i="15"/>
  <c r="N11" i="7"/>
  <c r="N10" i="7"/>
  <c r="C4" i="7" s="1"/>
  <c r="C4" i="6"/>
  <c r="C4" i="15" l="1"/>
  <c r="C29" i="15"/>
  <c r="C51" i="2"/>
  <c r="C28" i="2"/>
  <c r="C4" i="2"/>
  <c r="C4" i="8"/>
  <c r="C187" i="8"/>
  <c r="C135" i="8"/>
  <c r="C30" i="8"/>
  <c r="C55" i="8"/>
  <c r="C4" i="12"/>
  <c r="C4" i="11"/>
  <c r="N35" i="9"/>
  <c r="N34" i="9"/>
  <c r="N14" i="9"/>
  <c r="N13" i="9"/>
  <c r="C4" i="10" l="1"/>
  <c r="N58" i="5"/>
  <c r="N57" i="5"/>
  <c r="N56" i="5"/>
  <c r="N35" i="5"/>
  <c r="N34" i="5"/>
  <c r="N13" i="5"/>
  <c r="N11" i="5"/>
  <c r="C48" i="5" l="1"/>
  <c r="C26" i="5"/>
  <c r="C4" i="5"/>
</calcChain>
</file>

<file path=xl/sharedStrings.xml><?xml version="1.0" encoding="utf-8"?>
<sst xmlns="http://schemas.openxmlformats.org/spreadsheetml/2006/main" count="2341" uniqueCount="497">
  <si>
    <t>PAGE 1</t>
  </si>
  <si>
    <t>DESCRIPTION</t>
  </si>
  <si>
    <t>CAT.</t>
  </si>
  <si>
    <t>QTY</t>
  </si>
  <si>
    <t>WIDTH</t>
  </si>
  <si>
    <t>DEPTH</t>
  </si>
  <si>
    <t>HEIGHT</t>
  </si>
  <si>
    <t>OPTIONS</t>
  </si>
  <si>
    <t>FINISHES</t>
  </si>
  <si>
    <t>PRICE (EST.)</t>
  </si>
  <si>
    <t>GoCUID</t>
  </si>
  <si>
    <t>COLLABORATIVE | ENCLOSED</t>
  </si>
  <si>
    <t>PROJECT ROOM, TYPE 1</t>
  </si>
  <si>
    <t>A</t>
  </si>
  <si>
    <t>B</t>
  </si>
  <si>
    <t>C</t>
  </si>
  <si>
    <t>D</t>
  </si>
  <si>
    <t>E</t>
  </si>
  <si>
    <t>OS</t>
  </si>
  <si>
    <t>NSA</t>
  </si>
  <si>
    <t>Task Chair</t>
  </si>
  <si>
    <t>Laptop Table</t>
  </si>
  <si>
    <t>Fixed Height, Rectangular, Swivel Top</t>
  </si>
  <si>
    <t>Modular Bench</t>
  </si>
  <si>
    <t>Meeting Table</t>
  </si>
  <si>
    <t>Upholstered Stool</t>
  </si>
  <si>
    <t>Rectilinear, Backrest</t>
  </si>
  <si>
    <t>Rectangular, Post Legs</t>
  </si>
  <si>
    <t>Small, Round, Casters</t>
  </si>
  <si>
    <t>Fabric</t>
  </si>
  <si>
    <t>Laminate</t>
  </si>
  <si>
    <t>PROJECT ROOM, TYPE 2</t>
  </si>
  <si>
    <t>PAGE 2</t>
  </si>
  <si>
    <t>PROJECT ROOM, TYPE 3</t>
  </si>
  <si>
    <t>Return to Table of Contents</t>
  </si>
  <si>
    <t>PAGE 3</t>
  </si>
  <si>
    <t>N/A</t>
  </si>
  <si>
    <t>&gt; 483 mm (19 in.)</t>
  </si>
  <si>
    <t>635 to 991 mm 
(25 to 39 in.)</t>
  </si>
  <si>
    <t>406 to 483 mm 
(16 to 19 in.)</t>
  </si>
  <si>
    <t>1219 mm (48 in.)</t>
  </si>
  <si>
    <t>914 mm (36 in.)</t>
  </si>
  <si>
    <t>737 mm (29 in.)</t>
  </si>
  <si>
    <t>&gt; 457 mm (18 in.)</t>
  </si>
  <si>
    <t>&gt;457 mm (18 in.)</t>
  </si>
  <si>
    <t>Narrow Side Table</t>
  </si>
  <si>
    <t>F</t>
  </si>
  <si>
    <t>Bar Stool</t>
  </si>
  <si>
    <t>Training Table</t>
  </si>
  <si>
    <t>Tablet Chair</t>
  </si>
  <si>
    <t>1524 to 1676 mm
(60 to 66 in.)</t>
  </si>
  <si>
    <t>309 to 457 mm
(12 to 18 in.)</t>
  </si>
  <si>
    <t>864 to 1067 mm
(34 to 42 in.)</t>
  </si>
  <si>
    <t>&gt; 381 mm (15 in.)</t>
  </si>
  <si>
    <t>610 to 686 mm
(24 to 27 in.)</t>
  </si>
  <si>
    <t>1778 mm (70 in.)</t>
  </si>
  <si>
    <t>762 mm (30 in.)</t>
  </si>
  <si>
    <t>1372 mm (54 in.)</t>
  </si>
  <si>
    <t>Counter Height, Rectangular, End Gables, Power and Data</t>
  </si>
  <si>
    <t>Counter Hight, Seat Cushion, 4 Legs</t>
  </si>
  <si>
    <t>Modesty Panels, Y-Legs, Casters</t>
  </si>
  <si>
    <t>Small, Round, Pedestal Base</t>
  </si>
  <si>
    <t>Armrests</t>
  </si>
  <si>
    <t>Fabric and Laminate</t>
  </si>
  <si>
    <t>WORK ROOM, TYPE 1</t>
  </si>
  <si>
    <t>WORK ROOM, TYPE 2</t>
  </si>
  <si>
    <t>Multimedia Table</t>
  </si>
  <si>
    <t>2896 mm 
(114 in.)</t>
  </si>
  <si>
    <t>Single Monitor Mount</t>
  </si>
  <si>
    <t>Side Chair</t>
  </si>
  <si>
    <t>Armrests, Casters</t>
  </si>
  <si>
    <t>Freestanding Mobile Monitor Mount</t>
  </si>
  <si>
    <t>Standard Height, Round</t>
  </si>
  <si>
    <t>1219 to 1524 mm (48 to 60 in.) Monitor, Writeable Surface on Backside</t>
  </si>
  <si>
    <t>PRIMARY INDIVIDUAL | ENCLOSED</t>
  </si>
  <si>
    <t>Focus Room, Type 1</t>
  </si>
  <si>
    <t>Focus Room, Type 2</t>
  </si>
  <si>
    <t>Study, Type 1</t>
  </si>
  <si>
    <t>Study, Type 2</t>
  </si>
  <si>
    <t>Reflection Point, Type 1</t>
  </si>
  <si>
    <t>Phone Booth, Type 1</t>
  </si>
  <si>
    <t>Phone Booth, Type 2</t>
  </si>
  <si>
    <t>Phone Booth, Type 3</t>
  </si>
  <si>
    <t>COLLABORATIVE | OPEN</t>
  </si>
  <si>
    <t>SUPPORT SPACES</t>
  </si>
  <si>
    <t>Chat Point, Type 1</t>
  </si>
  <si>
    <t>Chat Point, Type 2</t>
  </si>
  <si>
    <t>Huddle, Type 1</t>
  </si>
  <si>
    <t>Huddle, Type 2</t>
  </si>
  <si>
    <t>Teaming Area, Type 1</t>
  </si>
  <si>
    <t>Teaming Area, Type 2</t>
  </si>
  <si>
    <t>Teaming Area, Type 3</t>
  </si>
  <si>
    <t>Lounge, Type 1</t>
  </si>
  <si>
    <t>Lounge, Type 2</t>
  </si>
  <si>
    <t>Lounge, Type 3</t>
  </si>
  <si>
    <t>Filing Area</t>
  </si>
  <si>
    <t>Lockers</t>
  </si>
  <si>
    <t>Medium Meeting Room, Type 1</t>
  </si>
  <si>
    <t>Medium Meeting Room, Type 2</t>
  </si>
  <si>
    <t>Large Meeting Room, Type 1</t>
  </si>
  <si>
    <t>TEAMING AREA, TYPE 1</t>
  </si>
  <si>
    <t>TEAMING AREA, TYPE 2</t>
  </si>
  <si>
    <t>TEAMING AREA, TYPE 3</t>
  </si>
  <si>
    <t>G</t>
  </si>
  <si>
    <t>Banquette</t>
  </si>
  <si>
    <t>Freestanding Mobile White Board</t>
  </si>
  <si>
    <t>Writable Surface on Both Sides</t>
  </si>
  <si>
    <t>Counter Height, Seat Cushion, 4 Legs</t>
  </si>
  <si>
    <t>406 to 483mm
(16 to 19 in.)</t>
  </si>
  <si>
    <t>610 to 686 mm 
(24 to 27 in.)</t>
  </si>
  <si>
    <t>864 to 1067 mm
(34" to 42")</t>
  </si>
  <si>
    <t>1727 to 1905 mm
(68 to 75 in.)</t>
  </si>
  <si>
    <t>406 to 508 mm
(16 to 20 in.)</t>
  </si>
  <si>
    <t>Mid-height Back, 3 Seater, Legs</t>
  </si>
  <si>
    <t>Polymer &amp; Fabric</t>
  </si>
  <si>
    <t>Fabric &amp; Laminate</t>
  </si>
  <si>
    <t>Curvilinear, Backrest</t>
  </si>
  <si>
    <t>Modular Bench with Power and Data Side Table</t>
  </si>
  <si>
    <t>Collaborative Meeting Table</t>
  </si>
  <si>
    <t>Power and Data, Pedestal Base</t>
  </si>
  <si>
    <t>635 to 991 mm
(25 to 39 in.)</t>
  </si>
  <si>
    <t>406 to 483 mm
(16 to 19 in.)</t>
  </si>
  <si>
    <t>940 to 1397 mm
(37" to 55")</t>
  </si>
  <si>
    <t>1067 mm (42 in.)</t>
  </si>
  <si>
    <t>635 mm (25 in.)</t>
  </si>
  <si>
    <t>Kitchen Island Table</t>
  </si>
  <si>
    <t>Upholstered Ottoman</t>
  </si>
  <si>
    <t>Small, Square</t>
  </si>
  <si>
    <t>2438 mm (96 in.)</t>
  </si>
  <si>
    <t>1041 to 1092 mm
(41 to 43 in.)</t>
  </si>
  <si>
    <t>1676 mm (66 in.)</t>
  </si>
  <si>
    <t>CHAT POINT, TYPE 1</t>
  </si>
  <si>
    <t>Kitchenette Chair</t>
  </si>
  <si>
    <t>432 to 508 mm
(17 to 20 in.)</t>
  </si>
  <si>
    <t>Without Armrests, 4 Legs</t>
  </si>
  <si>
    <t>Polymer</t>
  </si>
  <si>
    <t>1069 mm (42 in.)</t>
  </si>
  <si>
    <t>Rectangular, Column Leg</t>
  </si>
  <si>
    <r>
      <rPr>
        <sz val="10"/>
        <color theme="1"/>
        <rFont val="Calibri"/>
        <family val="2"/>
      </rPr>
      <t>≥</t>
    </r>
    <r>
      <rPr>
        <sz val="10"/>
        <color theme="1"/>
        <rFont val="Calibri Light"/>
        <family val="2"/>
      </rPr>
      <t xml:space="preserve"> 406 mm (16 in.)</t>
    </r>
  </si>
  <si>
    <t>CHAT POINT, TYPE 2</t>
  </si>
  <si>
    <t>Lounge Chair</t>
  </si>
  <si>
    <t>Coffee Table</t>
  </si>
  <si>
    <t>&gt; 686 mm (27 in.)</t>
  </si>
  <si>
    <t>Armrests, Fixed Base</t>
  </si>
  <si>
    <t>Oval, Post Legs</t>
  </si>
  <si>
    <t>457 mm (18 in.)</t>
  </si>
  <si>
    <t>HUDDLE, TYPE 1</t>
  </si>
  <si>
    <t>Mid-height Back, 2 Seater, Legs</t>
  </si>
  <si>
    <t>1321 mm (52 in.)</t>
  </si>
  <si>
    <t>686 mm (27 in.)</t>
  </si>
  <si>
    <t>D-Top, Power and Data, Pedestal Base</t>
  </si>
  <si>
    <t>HUDDLE, TYPE 2</t>
  </si>
  <si>
    <t>736 mm (29 in.)</t>
  </si>
  <si>
    <t>Low-height Back, Privacy Screen, Legs</t>
  </si>
  <si>
    <t>LOUNGE, TYPE 1</t>
  </si>
  <si>
    <t>Mid-height Back, Legs</t>
  </si>
  <si>
    <t>Square, Pedestal Base</t>
  </si>
  <si>
    <t>Standard Height, Sled Base</t>
  </si>
  <si>
    <t>1600 to 1905 mm
(62 to 75 in.)</t>
  </si>
  <si>
    <t>762 mm (30 in. )</t>
  </si>
  <si>
    <t>&gt; 406 mm (16 in.)</t>
  </si>
  <si>
    <t>LOUNGE, TYPE 2</t>
  </si>
  <si>
    <t>Counter Height, Sled Base</t>
  </si>
  <si>
    <t>Standard Height, Round, Pedestal Base</t>
  </si>
  <si>
    <t>Counter Height, Round, Pedestal Base</t>
  </si>
  <si>
    <t>864 to 940 mm
(34 to 37 in.)</t>
  </si>
  <si>
    <t>LOUNGE, TYPE 3</t>
  </si>
  <si>
    <t>Sofa</t>
  </si>
  <si>
    <t>Armrests, 3 Seater, Legs</t>
  </si>
  <si>
    <t>914mm (36 in.)</t>
  </si>
  <si>
    <t>457mm (18 in.)</t>
  </si>
  <si>
    <t>356 to 534mm
(14 to 21 in.)</t>
  </si>
  <si>
    <t>1854 to 2159 mm
(73 to 85 in.)</t>
  </si>
  <si>
    <t>686 to 838 mm
(27 to 33 in.)</t>
  </si>
  <si>
    <t>MODULAR BENCHING, VARIOUS SIZES &amp; CONFIGURATIONS</t>
  </si>
  <si>
    <t>LOUNGE, TYPE 4A</t>
  </si>
  <si>
    <t>Lounge, Type 4A</t>
  </si>
  <si>
    <t>LOUNGE, TYPE 4B</t>
  </si>
  <si>
    <t>Lounge, Type 4B</t>
  </si>
  <si>
    <t>Lounge, Type 4C</t>
  </si>
  <si>
    <t>PAGE 4</t>
  </si>
  <si>
    <t>PAGE 5</t>
  </si>
  <si>
    <t>LOUNGE, TYPE 4C</t>
  </si>
  <si>
    <t>PAGE 6</t>
  </si>
  <si>
    <t>Curvilinear</t>
  </si>
  <si>
    <t>Rectilinear</t>
  </si>
  <si>
    <t>LOUNGE, TYPE 4D</t>
  </si>
  <si>
    <t>PAGE 7</t>
  </si>
  <si>
    <t>Lounge, Type 4D</t>
  </si>
  <si>
    <t>LOUNGE, TYPE 4E</t>
  </si>
  <si>
    <t>PAGE 8</t>
  </si>
  <si>
    <t>Lounge, Type 4E</t>
  </si>
  <si>
    <t>LOUNGE, TYPE 4F</t>
  </si>
  <si>
    <t>PAGE 9</t>
  </si>
  <si>
    <t>Lounge, Type 4F</t>
  </si>
  <si>
    <t>FOCUS ROOM, TYPE 1</t>
  </si>
  <si>
    <t>Height Adjustable Work Surface</t>
  </si>
  <si>
    <t>Monitor Arm</t>
  </si>
  <si>
    <t>Power Module</t>
  </si>
  <si>
    <t>1524 mm (60 in.)</t>
  </si>
  <si>
    <t>584 to 1237 mm (23 to 48.7 in.)</t>
  </si>
  <si>
    <r>
      <rPr>
        <sz val="10"/>
        <color theme="1"/>
        <rFont val="Calibri"/>
        <family val="2"/>
      </rPr>
      <t>≥</t>
    </r>
    <r>
      <rPr>
        <sz val="10"/>
        <color theme="1"/>
        <rFont val="Calibri Light"/>
        <family val="2"/>
      </rPr>
      <t xml:space="preserve"> 457 mm (18 in.)</t>
    </r>
  </si>
  <si>
    <t>Double</t>
  </si>
  <si>
    <t>AC and USB</t>
  </si>
  <si>
    <t>FOCUS ROOM, TYPE 2</t>
  </si>
  <si>
    <t>H</t>
  </si>
  <si>
    <t>Freestanding Screen</t>
  </si>
  <si>
    <t>Work Surface Screen</t>
  </si>
  <si>
    <t>Privacy Screen</t>
  </si>
  <si>
    <t>Single</t>
  </si>
  <si>
    <t>Freestanding on Surface</t>
  </si>
  <si>
    <t>584 to 1237 mm
(23 to 48.7 in.)</t>
  </si>
  <si>
    <t>1422 to 1626 mm
(56 to 64 in.)</t>
  </si>
  <si>
    <t>&gt; 1219 mm 
(48 in.)</t>
  </si>
  <si>
    <t>3505 mm (138 in.)</t>
  </si>
  <si>
    <t>3505 mm 
(138 in.)</t>
  </si>
  <si>
    <t>STUDY, TYPE 1</t>
  </si>
  <si>
    <t>STUDY, TYPE 2</t>
  </si>
  <si>
    <t>Modular Benching</t>
  </si>
  <si>
    <t>Individual Private Lounge Chair</t>
  </si>
  <si>
    <t>Height Adjustable, 6 Station</t>
  </si>
  <si>
    <t>Power, End Gables</t>
  </si>
  <si>
    <t>Tablet Arm</t>
  </si>
  <si>
    <t>2134 mm (84 in.)</t>
  </si>
  <si>
    <t>762 mm ( 30 in.)</t>
  </si>
  <si>
    <t>1067 to 1524 mm
(42 to 60 in.)</t>
  </si>
  <si>
    <t>1168 to 1626 mm
(46 to 64 in.)</t>
  </si>
  <si>
    <t>REFLECTION POINT, TYPE 1</t>
  </si>
  <si>
    <t>SECONDARY INDIVIDUAL</t>
  </si>
  <si>
    <t>Ottoman</t>
  </si>
  <si>
    <t>Fixed Height, Rectangular, Swivel</t>
  </si>
  <si>
    <t>PHONE BOOTH, TYPE 1</t>
  </si>
  <si>
    <t>Round, Casters</t>
  </si>
  <si>
    <t>PHONE BOOTH, TYPE 2</t>
  </si>
  <si>
    <t>Without Armrests</t>
  </si>
  <si>
    <t>PHONE BOOTH, TYPE 3</t>
  </si>
  <si>
    <t>Pre-fabricated Phone Booth</t>
  </si>
  <si>
    <r>
      <rPr>
        <sz val="10"/>
        <color theme="1"/>
        <rFont val="Calibri"/>
        <family val="2"/>
      </rPr>
      <t>≥</t>
    </r>
    <r>
      <rPr>
        <sz val="10"/>
        <color theme="1"/>
        <rFont val="Calibri Light"/>
        <family val="2"/>
      </rPr>
      <t xml:space="preserve"> 1016 mm (40 in.)</t>
    </r>
  </si>
  <si>
    <r>
      <rPr>
        <sz val="10"/>
        <color theme="1"/>
        <rFont val="Calibri"/>
        <family val="2"/>
      </rPr>
      <t>≥</t>
    </r>
    <r>
      <rPr>
        <sz val="10"/>
        <color theme="1"/>
        <rFont val="Calibri Light"/>
        <family val="2"/>
      </rPr>
      <t xml:space="preserve"> 737 mm (29 in.)</t>
    </r>
  </si>
  <si>
    <t>2032 to 2311 mm 
(80 to 91 in.)</t>
  </si>
  <si>
    <t>LOCKERS</t>
  </si>
  <si>
    <t>Storage Locker</t>
  </si>
  <si>
    <t>Painted Metal</t>
  </si>
  <si>
    <t>FILING</t>
  </si>
  <si>
    <t>D-Top</t>
  </si>
  <si>
    <t>3 High, Lateral</t>
  </si>
  <si>
    <t>Rectangular, End Gables</t>
  </si>
  <si>
    <t>737 mm ( 29 in.)</t>
  </si>
  <si>
    <t>&gt; 381 mm ( 15 in.)</t>
  </si>
  <si>
    <t>3099 mm 
(122 in.)</t>
  </si>
  <si>
    <t>LARGE MEETING ROOM, TYPE 1</t>
  </si>
  <si>
    <t>Conference Chair</t>
  </si>
  <si>
    <t>Standard Mid-Back, Fully Adjustable</t>
  </si>
  <si>
    <t>Large, Rectangular, Power and Data, Post Leg</t>
  </si>
  <si>
    <t>3962 mm (156 in.)</t>
  </si>
  <si>
    <t>MEDIUM MEETING ROOM, TYPE 1</t>
  </si>
  <si>
    <t>MEDIUM MEETING ROOM, TYPE 2</t>
  </si>
  <si>
    <t>MEDIUM MEETING (&amp; TRAINING) ROOM, TYPE 3</t>
  </si>
  <si>
    <t>4879 mm (192 in.)</t>
  </si>
  <si>
    <t>Large, Rectangular, Power and Data, Post-Leg Columns</t>
  </si>
  <si>
    <t>Video Conference Table</t>
  </si>
  <si>
    <t>V-Shape, Modesty Panel, Power and Data, Column Base</t>
  </si>
  <si>
    <t>Medium Meeting (&amp; Training) Room, Type 3</t>
  </si>
  <si>
    <t>Flip-Top, Modesty Panel, Y-Legs, Casters</t>
  </si>
  <si>
    <t>PRICE (CEILING)</t>
  </si>
  <si>
    <t>6SBATHXXBUW5G19LMNN</t>
  </si>
  <si>
    <t>6CNTCHREGLW8606UYXX</t>
  </si>
  <si>
    <t>6KBSCHxxLY15XXXPOYX</t>
  </si>
  <si>
    <t>6STCWRXXLUXXXXXXNNX</t>
  </si>
  <si>
    <t>6SUCROXXLUX8XXXLXXX</t>
  </si>
  <si>
    <t>6LWBFWWSXXXXXXXXNNN</t>
  </si>
  <si>
    <t>6CLTVAREXLW7&lt;36ONXX</t>
  </si>
  <si>
    <t>6SMORBXXLU25G19LYNN</t>
  </si>
  <si>
    <t>6SMPCBXXLU37G19LYNN</t>
  </si>
  <si>
    <t>6CCLVAROPL42XXXAvXX</t>
  </si>
  <si>
    <t>6CKIVAREGL48L96PYXX</t>
  </si>
  <si>
    <t>6MMTMDRENL42L66WYNX</t>
  </si>
  <si>
    <t>6SUOPSXXLUXXXXXLNNN</t>
  </si>
  <si>
    <t>6LMMDMWSXDW8XXXXNNN</t>
  </si>
  <si>
    <t>2WSSREXXL30L60BELXX</t>
  </si>
  <si>
    <t>5MOADUARMCLPMTXXXXX</t>
  </si>
  <si>
    <t>5PMOWKSMTACUSBXXXXX</t>
  </si>
  <si>
    <t>7OCHNBMLAASSALMTIUBF</t>
  </si>
  <si>
    <t>CEILING PRICE</t>
  </si>
  <si>
    <t>2WSSREXXL30L48BELXX</t>
  </si>
  <si>
    <t>5MOASGARMCLPMTXXXXX</t>
  </si>
  <si>
    <t>6LFSUPXXXXW8XXXTXXX</t>
  </si>
  <si>
    <t>BFCWAWSCUBF</t>
  </si>
  <si>
    <t>2B3LREXXL30L48BELFA</t>
  </si>
  <si>
    <t>6CKIVAREGL30L84PYXX</t>
  </si>
  <si>
    <t>6OPLWLFSLXC3H46XYTA</t>
  </si>
  <si>
    <t>6SLCWAXXFUXXXXXMXXX</t>
  </si>
  <si>
    <t>L-Shaped</t>
  </si>
  <si>
    <t>I</t>
  </si>
  <si>
    <t>1B</t>
  </si>
  <si>
    <t>Work Surface Mounted</t>
  </si>
  <si>
    <t>1bCPSXXSXXL30XFANNN</t>
  </si>
  <si>
    <t>Rotary Stool</t>
  </si>
  <si>
    <t>6KKCSAxxLY16XXXMONX</t>
  </si>
  <si>
    <t>6MMTMDREOL42L66WYNX</t>
  </si>
  <si>
    <t>6CCTVAOVLL18L36JNXX</t>
  </si>
  <si>
    <t>6SBATWXXLUW3G19LMNY</t>
  </si>
  <si>
    <t>6SBATWXXLUW3G19LLYN</t>
  </si>
  <si>
    <t>Racetrack, Power and Data, Pedestal Base</t>
  </si>
  <si>
    <t>6MMTLGREOL60156WYNX</t>
  </si>
  <si>
    <t>6MMTLGREOL60192WYNX</t>
  </si>
  <si>
    <t>6MVCSNVSML42138WYYX</t>
  </si>
  <si>
    <t>6MTRFTRECL30L72WYYY</t>
  </si>
  <si>
    <t>6MMTSMSQLL48L48WNNX</t>
  </si>
  <si>
    <t>6CMUSHDSRL48114WYXX</t>
  </si>
  <si>
    <t>6MMTSMROPL48XXXWNNX</t>
  </si>
  <si>
    <t>1 High, Keyless Locks</t>
  </si>
  <si>
    <t>3 High, Keyless Locks</t>
  </si>
  <si>
    <t>2 High, Keyless Locks</t>
  </si>
  <si>
    <t>6SMORBXXLU25G19LNNN</t>
  </si>
  <si>
    <t>Pedestal Leg</t>
  </si>
  <si>
    <t>Filing Cabinet</t>
  </si>
  <si>
    <t>Match Filing Cabinet</t>
  </si>
  <si>
    <t>Metal</t>
  </si>
  <si>
    <t>Cantilever (One End) &amp; 
Pedestal Base (One End)</t>
  </si>
  <si>
    <t>3FLT3DXXPM36D18XXXS</t>
  </si>
  <si>
    <t>6SBATHXXLUW5G19LMNN</t>
  </si>
  <si>
    <t>6MMTSMSQPL30L30WNNX</t>
  </si>
  <si>
    <t>6KKCSAxxSY16XXXMONX</t>
  </si>
  <si>
    <t>6KBSCHxxSY15XXXPONX</t>
  </si>
  <si>
    <t>6MMTSMROPL42XXXWNNX</t>
  </si>
  <si>
    <t>6CCMVAROPL36XXXTNXX</t>
  </si>
  <si>
    <t>6SSOTHXXLUW6XXXQNNY</t>
  </si>
  <si>
    <t>6SMPRBXXLU25G19LYNN</t>
  </si>
  <si>
    <t>6SMOCBXXLU37G19LNNN</t>
  </si>
  <si>
    <t>6SMOCBXXLU37G19LYNN</t>
  </si>
  <si>
    <t>Modular Bench with Table Attachment</t>
  </si>
  <si>
    <t>PRIMARY INDIVIDUAL | OPEN</t>
  </si>
  <si>
    <t>PRIMARY INDIVIDAUL | OPEN</t>
  </si>
  <si>
    <t>FOCUS POD, TYPE 1</t>
  </si>
  <si>
    <t>FOCUS POD, TYPE 2</t>
  </si>
  <si>
    <t>Individual Lounge Pod</t>
  </si>
  <si>
    <t>1067 to 1524 mm (42 to 60 in.)</t>
  </si>
  <si>
    <t>1168 to 1626 mm (46 to 64")</t>
  </si>
  <si>
    <t>Desk Base</t>
  </si>
  <si>
    <t>Task Light</t>
  </si>
  <si>
    <t>Individual Work Pod</t>
  </si>
  <si>
    <t>Work Surface</t>
  </si>
  <si>
    <t>5TLTDSKBAACPWRXXXXX</t>
  </si>
  <si>
    <t>6OIWWSFSLXC1H47XYXX</t>
  </si>
  <si>
    <t>TOUCHDOWN, TYPE 1A</t>
  </si>
  <si>
    <t>TOUCHDOWN, TYPE 1B</t>
  </si>
  <si>
    <t>Work Surface Privacy Screen</t>
  </si>
  <si>
    <t>6MMTLGRENL54132WYNX</t>
  </si>
  <si>
    <t>1041 to 1092 mm (41 to 42 in.)</t>
  </si>
  <si>
    <t>6CKIVAREGL48L84PYXX</t>
  </si>
  <si>
    <r>
      <t>AREA: 1.5 m</t>
    </r>
    <r>
      <rPr>
        <vertAlign val="superscript"/>
        <sz val="20"/>
        <color theme="1"/>
        <rFont val="Calibri Light"/>
        <family val="2"/>
        <scheme val="major"/>
      </rPr>
      <t>2</t>
    </r>
    <r>
      <rPr>
        <sz val="20"/>
        <color theme="1"/>
        <rFont val="Calibri Light"/>
        <family val="2"/>
        <scheme val="major"/>
      </rPr>
      <t xml:space="preserve"> per seat (16 ft</t>
    </r>
    <r>
      <rPr>
        <vertAlign val="superscript"/>
        <sz val="20"/>
        <color theme="1"/>
        <rFont val="Calibri Light"/>
        <family val="2"/>
        <scheme val="major"/>
      </rPr>
      <t>2</t>
    </r>
    <r>
      <rPr>
        <sz val="20"/>
        <color theme="1"/>
        <rFont val="Calibri Light"/>
        <family val="2"/>
        <scheme val="major"/>
      </rPr>
      <t>)</t>
    </r>
  </si>
  <si>
    <t>COST (EST.)</t>
  </si>
  <si>
    <t>Standard Height Back, Fully Adjustable</t>
  </si>
  <si>
    <t>Touchdown, Type 1A</t>
  </si>
  <si>
    <t>Focus Pod, Type 1</t>
  </si>
  <si>
    <t>Focus Pod, Type 2</t>
  </si>
  <si>
    <r>
      <t>AREA: 4 m</t>
    </r>
    <r>
      <rPr>
        <vertAlign val="superscript"/>
        <sz val="20"/>
        <color theme="1"/>
        <rFont val="Calibri Light"/>
        <family val="2"/>
        <scheme val="major"/>
      </rPr>
      <t>2</t>
    </r>
    <r>
      <rPr>
        <sz val="20"/>
        <color theme="1"/>
        <rFont val="Calibri Light"/>
        <family val="2"/>
        <scheme val="major"/>
      </rPr>
      <t xml:space="preserve"> (43 ft</t>
    </r>
    <r>
      <rPr>
        <vertAlign val="superscript"/>
        <sz val="20"/>
        <color theme="1"/>
        <rFont val="Calibri Light"/>
        <family val="2"/>
        <scheme val="major"/>
      </rPr>
      <t>2</t>
    </r>
    <r>
      <rPr>
        <sz val="20"/>
        <color theme="1"/>
        <rFont val="Calibri Light"/>
        <family val="2"/>
        <scheme val="major"/>
      </rPr>
      <t>), 1 OCCUPANT</t>
    </r>
  </si>
  <si>
    <r>
      <t>AREA: 4 m</t>
    </r>
    <r>
      <rPr>
        <vertAlign val="superscript"/>
        <sz val="20"/>
        <color theme="1"/>
        <rFont val="Calibri Light"/>
        <family val="2"/>
        <scheme val="major"/>
      </rPr>
      <t>2</t>
    </r>
    <r>
      <rPr>
        <sz val="20"/>
        <color theme="1"/>
        <rFont val="Calibri Light"/>
        <family val="2"/>
        <scheme val="major"/>
      </rPr>
      <t xml:space="preserve"> (43 ft</t>
    </r>
    <r>
      <rPr>
        <vertAlign val="superscript"/>
        <sz val="20"/>
        <color theme="1"/>
        <rFont val="Calibri Light"/>
        <family val="2"/>
        <scheme val="major"/>
      </rPr>
      <t>2</t>
    </r>
    <r>
      <rPr>
        <sz val="20"/>
        <color theme="1"/>
        <rFont val="Calibri Light"/>
        <family val="2"/>
        <scheme val="major"/>
      </rPr>
      <t>)</t>
    </r>
  </si>
  <si>
    <t>TABLE OF CONTENTS</t>
  </si>
  <si>
    <r>
      <t>AREA: 7.5 m</t>
    </r>
    <r>
      <rPr>
        <vertAlign val="superscript"/>
        <sz val="20"/>
        <color theme="1"/>
        <rFont val="Calibri Light"/>
        <family val="2"/>
        <scheme val="major"/>
      </rPr>
      <t>2</t>
    </r>
    <r>
      <rPr>
        <sz val="20"/>
        <color theme="1"/>
        <rFont val="Calibri Light"/>
        <family val="2"/>
        <scheme val="major"/>
      </rPr>
      <t xml:space="preserve"> (81 ft</t>
    </r>
    <r>
      <rPr>
        <vertAlign val="superscript"/>
        <sz val="20"/>
        <color theme="1"/>
        <rFont val="Calibri Light"/>
        <family val="2"/>
        <scheme val="major"/>
      </rPr>
      <t>2</t>
    </r>
    <r>
      <rPr>
        <sz val="20"/>
        <color theme="1"/>
        <rFont val="Calibri Light"/>
        <family val="2"/>
        <scheme val="major"/>
      </rPr>
      <t>)</t>
    </r>
  </si>
  <si>
    <r>
      <t>AREA: 1 m</t>
    </r>
    <r>
      <rPr>
        <vertAlign val="superscript"/>
        <sz val="20"/>
        <color theme="1"/>
        <rFont val="Calibri Light"/>
        <family val="2"/>
        <scheme val="major"/>
      </rPr>
      <t>2</t>
    </r>
    <r>
      <rPr>
        <sz val="20"/>
        <color theme="1"/>
        <rFont val="Calibri Light"/>
        <family val="2"/>
        <scheme val="major"/>
      </rPr>
      <t xml:space="preserve"> (11 ft</t>
    </r>
    <r>
      <rPr>
        <vertAlign val="superscript"/>
        <sz val="20"/>
        <color theme="1"/>
        <rFont val="Calibri Light"/>
        <family val="2"/>
        <scheme val="major"/>
      </rPr>
      <t>2</t>
    </r>
    <r>
      <rPr>
        <sz val="20"/>
        <color theme="1"/>
        <rFont val="Calibri Light"/>
        <family val="2"/>
        <scheme val="major"/>
      </rPr>
      <t>)</t>
    </r>
  </si>
  <si>
    <r>
      <t>AREA: 5 m</t>
    </r>
    <r>
      <rPr>
        <vertAlign val="superscript"/>
        <sz val="20"/>
        <color theme="1"/>
        <rFont val="Calibri Light"/>
        <family val="2"/>
        <scheme val="major"/>
      </rPr>
      <t>2</t>
    </r>
    <r>
      <rPr>
        <sz val="20"/>
        <color theme="1"/>
        <rFont val="Calibri Light"/>
        <family val="2"/>
        <scheme val="major"/>
      </rPr>
      <t xml:space="preserve"> (54 ft</t>
    </r>
    <r>
      <rPr>
        <vertAlign val="superscript"/>
        <sz val="20"/>
        <color theme="1"/>
        <rFont val="Calibri Light"/>
        <family val="2"/>
        <scheme val="major"/>
      </rPr>
      <t>2</t>
    </r>
    <r>
      <rPr>
        <sz val="20"/>
        <color theme="1"/>
        <rFont val="Calibri Light"/>
        <family val="2"/>
        <scheme val="major"/>
      </rPr>
      <t>)</t>
    </r>
  </si>
  <si>
    <t>Power and Data, End Gables</t>
  </si>
  <si>
    <t>Power and Data, Post Legs</t>
  </si>
  <si>
    <r>
      <t>AREA: 20 m</t>
    </r>
    <r>
      <rPr>
        <vertAlign val="superscript"/>
        <sz val="20"/>
        <color theme="1"/>
        <rFont val="Calibri Light"/>
        <family val="2"/>
        <scheme val="major"/>
      </rPr>
      <t>2</t>
    </r>
    <r>
      <rPr>
        <sz val="20"/>
        <color theme="1"/>
        <rFont val="Calibri Light"/>
        <family val="2"/>
        <scheme val="major"/>
      </rPr>
      <t xml:space="preserve"> (215 ft</t>
    </r>
    <r>
      <rPr>
        <vertAlign val="superscript"/>
        <sz val="20"/>
        <color theme="1"/>
        <rFont val="Calibri Light"/>
        <family val="2"/>
        <scheme val="major"/>
      </rPr>
      <t>2</t>
    </r>
    <r>
      <rPr>
        <sz val="20"/>
        <color theme="1"/>
        <rFont val="Calibri Light"/>
        <family val="2"/>
        <scheme val="major"/>
      </rPr>
      <t>)</t>
    </r>
  </si>
  <si>
    <r>
      <t>AREA: 25 m</t>
    </r>
    <r>
      <rPr>
        <vertAlign val="superscript"/>
        <sz val="20"/>
        <color theme="1"/>
        <rFont val="Calibri Light"/>
        <family val="2"/>
        <scheme val="major"/>
      </rPr>
      <t>2</t>
    </r>
    <r>
      <rPr>
        <sz val="20"/>
        <color theme="1"/>
        <rFont val="Calibri Light"/>
        <family val="2"/>
        <scheme val="major"/>
      </rPr>
      <t xml:space="preserve"> (269 ft</t>
    </r>
    <r>
      <rPr>
        <vertAlign val="superscript"/>
        <sz val="20"/>
        <color theme="1"/>
        <rFont val="Calibri Light"/>
        <family val="2"/>
        <scheme val="major"/>
      </rPr>
      <t>2</t>
    </r>
    <r>
      <rPr>
        <sz val="20"/>
        <color theme="1"/>
        <rFont val="Calibri Light"/>
        <family val="2"/>
        <scheme val="major"/>
      </rPr>
      <t>)</t>
    </r>
  </si>
  <si>
    <r>
      <t>AREA: 35 m</t>
    </r>
    <r>
      <rPr>
        <vertAlign val="superscript"/>
        <sz val="20"/>
        <color theme="1"/>
        <rFont val="Calibri Light"/>
        <family val="2"/>
        <scheme val="major"/>
      </rPr>
      <t>2</t>
    </r>
    <r>
      <rPr>
        <sz val="20"/>
        <color theme="1"/>
        <rFont val="Calibri Light"/>
        <family val="2"/>
        <scheme val="major"/>
      </rPr>
      <t xml:space="preserve"> (376 ft</t>
    </r>
    <r>
      <rPr>
        <vertAlign val="superscript"/>
        <sz val="20"/>
        <color theme="1"/>
        <rFont val="Calibri Light"/>
        <family val="2"/>
        <scheme val="major"/>
      </rPr>
      <t>2</t>
    </r>
    <r>
      <rPr>
        <sz val="20"/>
        <color theme="1"/>
        <rFont val="Calibri Light"/>
        <family val="2"/>
        <scheme val="major"/>
      </rPr>
      <t>)</t>
    </r>
  </si>
  <si>
    <r>
      <t>AREA: ?? m</t>
    </r>
    <r>
      <rPr>
        <vertAlign val="superscript"/>
        <sz val="20"/>
        <color rgb="FFFF0000"/>
        <rFont val="Calibri Light"/>
        <family val="2"/>
        <scheme val="major"/>
      </rPr>
      <t>2</t>
    </r>
    <r>
      <rPr>
        <sz val="20"/>
        <color rgb="FFFF0000"/>
        <rFont val="Calibri Light"/>
        <family val="2"/>
        <scheme val="major"/>
      </rPr>
      <t xml:space="preserve"> (?? ft</t>
    </r>
    <r>
      <rPr>
        <vertAlign val="superscript"/>
        <sz val="20"/>
        <color rgb="FFFF0000"/>
        <rFont val="Calibri Light"/>
        <family val="2"/>
        <scheme val="major"/>
      </rPr>
      <t>2</t>
    </r>
    <r>
      <rPr>
        <sz val="20"/>
        <color rgb="FFFF0000"/>
        <rFont val="Calibri Light"/>
        <family val="2"/>
        <scheme val="major"/>
      </rPr>
      <t>)</t>
    </r>
  </si>
  <si>
    <r>
      <t>AREA: 8 m</t>
    </r>
    <r>
      <rPr>
        <vertAlign val="superscript"/>
        <sz val="20"/>
        <color theme="1"/>
        <rFont val="Calibri Light"/>
        <family val="2"/>
        <scheme val="major"/>
      </rPr>
      <t>2</t>
    </r>
    <r>
      <rPr>
        <sz val="20"/>
        <color theme="1"/>
        <rFont val="Calibri Light"/>
        <family val="2"/>
        <scheme val="major"/>
      </rPr>
      <t xml:space="preserve"> (86 ft</t>
    </r>
    <r>
      <rPr>
        <vertAlign val="superscript"/>
        <sz val="20"/>
        <color theme="1"/>
        <rFont val="Calibri Light"/>
        <family val="2"/>
        <scheme val="major"/>
      </rPr>
      <t>2</t>
    </r>
    <r>
      <rPr>
        <sz val="20"/>
        <color theme="1"/>
        <rFont val="Calibri Light"/>
        <family val="2"/>
        <scheme val="major"/>
      </rPr>
      <t>)</t>
    </r>
  </si>
  <si>
    <r>
      <t>AREA: 7 m</t>
    </r>
    <r>
      <rPr>
        <vertAlign val="superscript"/>
        <sz val="20"/>
        <color theme="1"/>
        <rFont val="Calibri Light"/>
        <family val="2"/>
        <scheme val="major"/>
      </rPr>
      <t>2</t>
    </r>
    <r>
      <rPr>
        <sz val="20"/>
        <color theme="1"/>
        <rFont val="Calibri Light"/>
        <family val="2"/>
        <scheme val="major"/>
      </rPr>
      <t xml:space="preserve"> (75 ft</t>
    </r>
    <r>
      <rPr>
        <vertAlign val="superscript"/>
        <sz val="20"/>
        <color theme="1"/>
        <rFont val="Calibri Light"/>
        <family val="2"/>
        <scheme val="major"/>
      </rPr>
      <t>2</t>
    </r>
    <r>
      <rPr>
        <sz val="20"/>
        <color theme="1"/>
        <rFont val="Calibri Light"/>
        <family val="2"/>
        <scheme val="major"/>
      </rPr>
      <t>)</t>
    </r>
  </si>
  <si>
    <r>
      <t>AREA: 16 m</t>
    </r>
    <r>
      <rPr>
        <vertAlign val="superscript"/>
        <sz val="20"/>
        <color theme="1"/>
        <rFont val="Calibri Light"/>
        <family val="2"/>
        <scheme val="major"/>
      </rPr>
      <t>2</t>
    </r>
    <r>
      <rPr>
        <sz val="20"/>
        <color theme="1"/>
        <rFont val="Calibri Light"/>
        <family val="2"/>
        <scheme val="major"/>
      </rPr>
      <t xml:space="preserve"> (172 ft</t>
    </r>
    <r>
      <rPr>
        <vertAlign val="superscript"/>
        <sz val="20"/>
        <color theme="1"/>
        <rFont val="Calibri Light"/>
        <family val="2"/>
        <scheme val="major"/>
      </rPr>
      <t>2</t>
    </r>
    <r>
      <rPr>
        <sz val="20"/>
        <color theme="1"/>
        <rFont val="Calibri Light"/>
        <family val="2"/>
        <scheme val="major"/>
      </rPr>
      <t>), 7 OCCUPANTS</t>
    </r>
  </si>
  <si>
    <r>
      <t>AREA: 25 m</t>
    </r>
    <r>
      <rPr>
        <vertAlign val="superscript"/>
        <sz val="20"/>
        <color theme="1"/>
        <rFont val="Calibri Light"/>
        <family val="2"/>
        <scheme val="major"/>
      </rPr>
      <t>2</t>
    </r>
    <r>
      <rPr>
        <sz val="20"/>
        <color theme="1"/>
        <rFont val="Calibri Light"/>
        <family val="2"/>
        <scheme val="major"/>
      </rPr>
      <t xml:space="preserve"> (269 ft</t>
    </r>
    <r>
      <rPr>
        <vertAlign val="superscript"/>
        <sz val="20"/>
        <color theme="1"/>
        <rFont val="Calibri Light"/>
        <family val="2"/>
        <scheme val="major"/>
      </rPr>
      <t>2</t>
    </r>
    <r>
      <rPr>
        <sz val="20"/>
        <color theme="1"/>
        <rFont val="Calibri Light"/>
        <family val="2"/>
        <scheme val="major"/>
      </rPr>
      <t>), 8 OCCUPANTS</t>
    </r>
  </si>
  <si>
    <r>
      <t>AREA: 20 m</t>
    </r>
    <r>
      <rPr>
        <vertAlign val="superscript"/>
        <sz val="20"/>
        <color theme="1"/>
        <rFont val="Calibri Light"/>
        <family val="2"/>
        <scheme val="major"/>
      </rPr>
      <t>2</t>
    </r>
    <r>
      <rPr>
        <sz val="20"/>
        <color theme="1"/>
        <rFont val="Calibri Light"/>
        <family val="2"/>
        <scheme val="major"/>
      </rPr>
      <t xml:space="preserve"> (215 ft</t>
    </r>
    <r>
      <rPr>
        <vertAlign val="superscript"/>
        <sz val="20"/>
        <color theme="1"/>
        <rFont val="Calibri Light"/>
        <family val="2"/>
        <scheme val="major"/>
      </rPr>
      <t>2</t>
    </r>
    <r>
      <rPr>
        <sz val="20"/>
        <color theme="1"/>
        <rFont val="Calibri Light"/>
        <family val="2"/>
        <scheme val="major"/>
      </rPr>
      <t>), 12 OCCUPANTS</t>
    </r>
  </si>
  <si>
    <r>
      <t>AREA: 60 m</t>
    </r>
    <r>
      <rPr>
        <vertAlign val="superscript"/>
        <sz val="20"/>
        <color theme="1"/>
        <rFont val="Calibri Light"/>
        <family val="2"/>
        <scheme val="major"/>
      </rPr>
      <t>2</t>
    </r>
    <r>
      <rPr>
        <sz val="20"/>
        <color theme="1"/>
        <rFont val="Calibri Light"/>
        <family val="2"/>
        <scheme val="major"/>
      </rPr>
      <t xml:space="preserve"> (645 ft</t>
    </r>
    <r>
      <rPr>
        <vertAlign val="superscript"/>
        <sz val="20"/>
        <color theme="1"/>
        <rFont val="Calibri Light"/>
        <family val="2"/>
        <scheme val="major"/>
      </rPr>
      <t>2</t>
    </r>
    <r>
      <rPr>
        <sz val="20"/>
        <color theme="1"/>
        <rFont val="Calibri Light"/>
        <family val="2"/>
        <scheme val="major"/>
      </rPr>
      <t>), 20+ OCCUPANTS</t>
    </r>
  </si>
  <si>
    <r>
      <t>AREA: 32 m</t>
    </r>
    <r>
      <rPr>
        <vertAlign val="superscript"/>
        <sz val="20"/>
        <color theme="1"/>
        <rFont val="Calibri Light"/>
        <family val="2"/>
        <scheme val="major"/>
      </rPr>
      <t>2</t>
    </r>
    <r>
      <rPr>
        <sz val="20"/>
        <color theme="1"/>
        <rFont val="Calibri Light"/>
        <family val="2"/>
        <scheme val="major"/>
      </rPr>
      <t xml:space="preserve"> (344 ft</t>
    </r>
    <r>
      <rPr>
        <vertAlign val="superscript"/>
        <sz val="20"/>
        <color theme="1"/>
        <rFont val="Calibri Light"/>
        <family val="2"/>
        <scheme val="major"/>
      </rPr>
      <t>2</t>
    </r>
    <r>
      <rPr>
        <sz val="20"/>
        <color theme="1"/>
        <rFont val="Calibri Light"/>
        <family val="2"/>
        <scheme val="major"/>
      </rPr>
      <t>), 12 OCCUPANTS</t>
    </r>
  </si>
  <si>
    <r>
      <t>AREA: 30 m</t>
    </r>
    <r>
      <rPr>
        <vertAlign val="superscript"/>
        <sz val="20"/>
        <color theme="1"/>
        <rFont val="Calibri Light"/>
        <family val="2"/>
        <scheme val="major"/>
      </rPr>
      <t>2</t>
    </r>
    <r>
      <rPr>
        <sz val="20"/>
        <color theme="1"/>
        <rFont val="Calibri Light"/>
        <family val="2"/>
        <scheme val="major"/>
      </rPr>
      <t xml:space="preserve"> (323 ft</t>
    </r>
    <r>
      <rPr>
        <vertAlign val="superscript"/>
        <sz val="20"/>
        <color theme="1"/>
        <rFont val="Calibri Light"/>
        <family val="2"/>
        <scheme val="major"/>
      </rPr>
      <t>2</t>
    </r>
    <r>
      <rPr>
        <sz val="20"/>
        <color theme="1"/>
        <rFont val="Calibri Light"/>
        <family val="2"/>
        <scheme val="major"/>
      </rPr>
      <t>), 7 OCCUPANTS</t>
    </r>
  </si>
  <si>
    <t>Introduction</t>
  </si>
  <si>
    <t>Huddle, Type 3</t>
  </si>
  <si>
    <t>Procurement Mechanisms</t>
  </si>
  <si>
    <t>GETTING STARTED</t>
  </si>
  <si>
    <t>Workstation, Type 1</t>
  </si>
  <si>
    <t>Workstation, Type 2</t>
  </si>
  <si>
    <t>SECONDARY INDIVIDUAL | OPEN &amp; ENCLOSED</t>
  </si>
  <si>
    <t>INTRODUCTION</t>
  </si>
  <si>
    <t>Audio-visual equipment (monitors, laptops, televisions, etc.) are not purchased through the Workspaces or Office Seating Supply Arrangements. They are shown for visualisation purposes only.</t>
  </si>
  <si>
    <t>1829 mm (72 in.)</t>
  </si>
  <si>
    <t>1194 to 1549 mm
(47 to 61 in.)</t>
  </si>
  <si>
    <t>For accessibility opening to Focus Pod should allow for 1700mm (67 in.) turning diameter.</t>
  </si>
  <si>
    <t>For accessibility, allow for a 1700 mm (67 in.) turning diameter at indicated location(s).</t>
  </si>
  <si>
    <t>Touchdown, Type 1B</t>
  </si>
  <si>
    <t>Project Room, Type 1</t>
  </si>
  <si>
    <t>Project Room, Type 2</t>
  </si>
  <si>
    <t>Project Room, Type 3</t>
  </si>
  <si>
    <t>Work Room, Type 1</t>
  </si>
  <si>
    <t>Work Room, Type 2</t>
  </si>
  <si>
    <t>VERSION 2.0 | 2020-10-31</t>
  </si>
  <si>
    <t>PROCUREMENT MECHANISMS</t>
  </si>
  <si>
    <t>HUDDLE, TYPE 3</t>
  </si>
  <si>
    <r>
      <t>AREA: 6 m</t>
    </r>
    <r>
      <rPr>
        <vertAlign val="superscript"/>
        <sz val="20"/>
        <color theme="1"/>
        <rFont val="Calibri Light"/>
        <family val="2"/>
        <scheme val="major"/>
      </rPr>
      <t>2</t>
    </r>
    <r>
      <rPr>
        <sz val="20"/>
        <color theme="1"/>
        <rFont val="Calibri Light"/>
        <family val="2"/>
        <scheme val="major"/>
      </rPr>
      <t xml:space="preserve"> (65 ft</t>
    </r>
    <r>
      <rPr>
        <vertAlign val="superscript"/>
        <sz val="20"/>
        <color theme="1"/>
        <rFont val="Calibri Light"/>
        <family val="2"/>
        <scheme val="major"/>
      </rPr>
      <t>2</t>
    </r>
    <r>
      <rPr>
        <sz val="20"/>
        <color theme="1"/>
        <rFont val="Calibri Light"/>
        <family val="2"/>
        <scheme val="major"/>
      </rPr>
      <t>)</t>
    </r>
  </si>
  <si>
    <t>6OGWWFFSLXC2H47XYXX</t>
  </si>
  <si>
    <t>2006 to 2591 mm (79 to 102 in.)</t>
  </si>
  <si>
    <t>2006 to 2591 mm
(79 to 102 in.)</t>
  </si>
  <si>
    <t>1194 to 1549 mm (47 to 61 in.)</t>
  </si>
  <si>
    <t>Group Work Pod</t>
  </si>
  <si>
    <t>WORKSTATION, TYPE 1</t>
  </si>
  <si>
    <t>Panel Add-on Module</t>
  </si>
  <si>
    <t>Non-powered</t>
  </si>
  <si>
    <t>Base Panel</t>
  </si>
  <si>
    <t>Frosted Acrylic</t>
  </si>
  <si>
    <t>Power Above Worksurface</t>
  </si>
  <si>
    <t>Fixed</t>
  </si>
  <si>
    <t>C-Leg Worksurface</t>
  </si>
  <si>
    <t>Electric</t>
  </si>
  <si>
    <t>Single, Clamp Mount</t>
  </si>
  <si>
    <t>AC Power &amp; USB</t>
  </si>
  <si>
    <t>Desk Base, USB</t>
  </si>
  <si>
    <t>Storage</t>
  </si>
  <si>
    <t>Credenza, Partial Height, Closed Doors (Keyless)</t>
  </si>
  <si>
    <t>Panel Hung Worksurface</t>
  </si>
  <si>
    <t>REQUIRED COMPONENTS</t>
  </si>
  <si>
    <t>MONITOR ARMS:</t>
  </si>
  <si>
    <t>HAT:</t>
  </si>
  <si>
    <t>Power Below Worksurface</t>
  </si>
  <si>
    <t>Workstations Quantity</t>
  </si>
  <si>
    <t>Tackable</t>
  </si>
  <si>
    <t>Double, Clamp Mount</t>
  </si>
  <si>
    <t>Crank</t>
  </si>
  <si>
    <t>Accessory Rail</t>
  </si>
  <si>
    <t>Air Flow</t>
  </si>
  <si>
    <t>Single, Grommet</t>
  </si>
  <si>
    <t>Pneumatic</t>
  </si>
  <si>
    <t>Whiteboard</t>
  </si>
  <si>
    <t>Double, Grommet</t>
  </si>
  <si>
    <t>None</t>
  </si>
  <si>
    <t>FINISHES:</t>
  </si>
  <si>
    <t>Worksuface height  adj.</t>
  </si>
  <si>
    <t>Wood Veneer</t>
  </si>
  <si>
    <t>Benching - height adj.</t>
  </si>
  <si>
    <t>Post Leg Worksurface</t>
  </si>
  <si>
    <t>2 Full Gables Worksurface</t>
  </si>
  <si>
    <t>TASK LIGHTING:</t>
  </si>
  <si>
    <t>STORGAE:</t>
  </si>
  <si>
    <t>Desk Base, AC Power</t>
  </si>
  <si>
    <t>Credenza, Partial Height, Combination (Keyless)</t>
  </si>
  <si>
    <t>Desk Base, AC and USB Power</t>
  </si>
  <si>
    <t>Credenza, Partial Height, Drawers (Keyless)</t>
  </si>
  <si>
    <t>Clamp Base, AC Power</t>
  </si>
  <si>
    <t>Credenza, Partial Height, Open Shelving</t>
  </si>
  <si>
    <t>Clamp Base, USB</t>
  </si>
  <si>
    <t>Pedestal (Medium), Mobile (Keyless)</t>
  </si>
  <si>
    <t>Clamp Base, AC and USB Power</t>
  </si>
  <si>
    <t>Pedestal (Large), Mobile (Keyless)</t>
  </si>
  <si>
    <t>Undersurface Mounted Storage Cubbie</t>
  </si>
  <si>
    <t>Clamp Base</t>
  </si>
  <si>
    <t>POWER MODULE:</t>
  </si>
  <si>
    <t xml:space="preserve">AC Power </t>
  </si>
  <si>
    <t>20"D x 42"W Open Dual Sided Credenza</t>
  </si>
  <si>
    <t>20"D x 42"W Open Shelf Credenza</t>
  </si>
  <si>
    <t>No Storage</t>
  </si>
  <si>
    <t>O</t>
  </si>
  <si>
    <t>Benching System with Individual Privacy Screens</t>
  </si>
  <si>
    <t>Benching System with Central Spine Privacy Screens</t>
  </si>
  <si>
    <t>OPTIONAL COMPONENTS</t>
  </si>
  <si>
    <t>1067 to 1245 mm (42 to 49 in.)</t>
  </si>
  <si>
    <t>Max. 102 mm
(Max 4 in.)</t>
  </si>
  <si>
    <t>1A</t>
  </si>
  <si>
    <t>610 mm (24 in.)</t>
  </si>
  <si>
    <t>Privacy Add-on Screen</t>
  </si>
  <si>
    <t>WORKSTATION, TYPE 2</t>
  </si>
  <si>
    <r>
      <t>SINGLE WORK SURFACE, AREA: 3.0 - 3.5 m</t>
    </r>
    <r>
      <rPr>
        <vertAlign val="superscript"/>
        <sz val="20"/>
        <color theme="1"/>
        <rFont val="Calibri Light"/>
        <family val="2"/>
        <scheme val="major"/>
      </rPr>
      <t>2</t>
    </r>
    <r>
      <rPr>
        <sz val="20"/>
        <color theme="1"/>
        <rFont val="Calibri Light"/>
        <family val="2"/>
        <scheme val="major"/>
      </rPr>
      <t xml:space="preserve"> (32 - 38 ft </t>
    </r>
    <r>
      <rPr>
        <vertAlign val="superscript"/>
        <sz val="20"/>
        <color theme="1"/>
        <rFont val="Calibri Light"/>
        <family val="2"/>
        <scheme val="major"/>
      </rPr>
      <t>2</t>
    </r>
    <r>
      <rPr>
        <sz val="20"/>
        <color theme="1"/>
        <rFont val="Calibri Light"/>
        <family val="2"/>
        <scheme val="major"/>
      </rPr>
      <t xml:space="preserve">) </t>
    </r>
  </si>
  <si>
    <t>Workstation, Type 3A</t>
  </si>
  <si>
    <r>
      <t>SINGLE WORK SURFACE, AREA: 3.0 - 5.0 m</t>
    </r>
    <r>
      <rPr>
        <vertAlign val="superscript"/>
        <sz val="20"/>
        <color theme="1"/>
        <rFont val="Calibri Light"/>
        <family val="2"/>
        <scheme val="major"/>
      </rPr>
      <t>2</t>
    </r>
    <r>
      <rPr>
        <sz val="20"/>
        <color theme="1"/>
        <rFont val="Calibri Light"/>
        <family val="2"/>
        <scheme val="major"/>
      </rPr>
      <t xml:space="preserve"> (36 - 55 ft </t>
    </r>
    <r>
      <rPr>
        <vertAlign val="superscript"/>
        <sz val="20"/>
        <color theme="1"/>
        <rFont val="Calibri Light"/>
        <family val="2"/>
        <scheme val="major"/>
      </rPr>
      <t>2</t>
    </r>
    <r>
      <rPr>
        <sz val="20"/>
        <color theme="1"/>
        <rFont val="Calibri Light"/>
        <family val="2"/>
        <scheme val="major"/>
      </rPr>
      <t xml:space="preserve">) </t>
    </r>
  </si>
  <si>
    <t>WORKSTATION, TYPE 3A</t>
  </si>
  <si>
    <t>Workstation, Type 3B</t>
  </si>
  <si>
    <r>
      <t>RECTANGULAR WORK SURFACE &amp; RETURN, AREA: 3.5 - 4.0 m</t>
    </r>
    <r>
      <rPr>
        <vertAlign val="superscript"/>
        <sz val="20"/>
        <color theme="1"/>
        <rFont val="Calibri Light"/>
        <family val="2"/>
        <scheme val="major"/>
      </rPr>
      <t>2</t>
    </r>
    <r>
      <rPr>
        <sz val="20"/>
        <color theme="1"/>
        <rFont val="Calibri Light"/>
        <family val="2"/>
        <scheme val="major"/>
      </rPr>
      <t xml:space="preserve"> (38 - 43 ft </t>
    </r>
    <r>
      <rPr>
        <vertAlign val="superscript"/>
        <sz val="20"/>
        <color theme="1"/>
        <rFont val="Calibri Light"/>
        <family val="2"/>
        <scheme val="major"/>
      </rPr>
      <t>2</t>
    </r>
    <r>
      <rPr>
        <sz val="20"/>
        <color theme="1"/>
        <rFont val="Calibri Light"/>
        <family val="2"/>
        <scheme val="major"/>
      </rPr>
      <t xml:space="preserve">) </t>
    </r>
  </si>
  <si>
    <t>WORKSTATION, TYPE 3B</t>
  </si>
  <si>
    <r>
      <t>120</t>
    </r>
    <r>
      <rPr>
        <sz val="20"/>
        <color theme="1"/>
        <rFont val="Calibri"/>
        <family val="2"/>
      </rPr>
      <t>⁰</t>
    </r>
    <r>
      <rPr>
        <sz val="20"/>
        <color theme="1"/>
        <rFont val="Calibri Light"/>
        <family val="2"/>
        <scheme val="major"/>
      </rPr>
      <t xml:space="preserve"> WORK SURFACE &amp; RETURN, AREA: 3.0 - 5.0 m</t>
    </r>
    <r>
      <rPr>
        <vertAlign val="superscript"/>
        <sz val="20"/>
        <color theme="1"/>
        <rFont val="Calibri Light"/>
        <family val="2"/>
        <scheme val="major"/>
      </rPr>
      <t>2</t>
    </r>
    <r>
      <rPr>
        <sz val="20"/>
        <color theme="1"/>
        <rFont val="Calibri Light"/>
        <family val="2"/>
        <scheme val="major"/>
      </rPr>
      <t xml:space="preserve"> (36 - 55 ft </t>
    </r>
    <r>
      <rPr>
        <vertAlign val="superscript"/>
        <sz val="20"/>
        <color theme="1"/>
        <rFont val="Calibri Light"/>
        <family val="2"/>
        <scheme val="major"/>
      </rPr>
      <t>2</t>
    </r>
    <r>
      <rPr>
        <sz val="20"/>
        <color theme="1"/>
        <rFont val="Calibri Light"/>
        <family val="2"/>
        <scheme val="major"/>
      </rPr>
      <t xml:space="preserve">) </t>
    </r>
  </si>
  <si>
    <t>304 to 406 mm (12 to 16 in.)</t>
  </si>
  <si>
    <r>
      <t>Rectangula</t>
    </r>
    <r>
      <rPr>
        <sz val="10"/>
        <rFont val="Calibri Light"/>
        <family val="2"/>
        <scheme val="major"/>
      </rPr>
      <t>r, Modesty Panel</t>
    </r>
    <r>
      <rPr>
        <sz val="10"/>
        <color rgb="FFFF0000"/>
        <rFont val="Calibri Light"/>
        <family val="2"/>
        <scheme val="major"/>
      </rPr>
      <t>,</t>
    </r>
    <r>
      <rPr>
        <sz val="10"/>
        <color theme="1"/>
        <rFont val="Calibri Light"/>
        <family val="2"/>
        <scheme val="major"/>
      </rPr>
      <t xml:space="preserve"> Power and Data, Casters</t>
    </r>
  </si>
  <si>
    <t>Power and Data, Y-legs</t>
  </si>
  <si>
    <t>3353 mm 
(132 in.)</t>
  </si>
  <si>
    <r>
      <t>AREA: 7 m</t>
    </r>
    <r>
      <rPr>
        <vertAlign val="superscript"/>
        <sz val="20"/>
        <rFont val="Calibri Light"/>
        <family val="2"/>
        <scheme val="major"/>
      </rPr>
      <t>2</t>
    </r>
    <r>
      <rPr>
        <sz val="20"/>
        <rFont val="Calibri Light"/>
        <family val="2"/>
        <scheme val="major"/>
      </rPr>
      <t xml:space="preserve"> (75 ft</t>
    </r>
    <r>
      <rPr>
        <vertAlign val="superscript"/>
        <sz val="20"/>
        <rFont val="Calibri Light"/>
        <family val="2"/>
        <scheme val="major"/>
      </rPr>
      <t>2</t>
    </r>
    <r>
      <rPr>
        <sz val="20"/>
        <rFont val="Calibri Light"/>
        <family val="2"/>
        <scheme val="major"/>
      </rPr>
      <t>)</t>
    </r>
  </si>
  <si>
    <r>
      <t>AREA: 40 m</t>
    </r>
    <r>
      <rPr>
        <vertAlign val="superscript"/>
        <sz val="20"/>
        <color theme="1"/>
        <rFont val="Calibri Light"/>
        <family val="2"/>
        <scheme val="major"/>
      </rPr>
      <t>2</t>
    </r>
    <r>
      <rPr>
        <sz val="20"/>
        <color theme="1"/>
        <rFont val="Calibri Light"/>
        <family val="2"/>
        <scheme val="major"/>
      </rPr>
      <t xml:space="preserve"> (430 ft</t>
    </r>
    <r>
      <rPr>
        <vertAlign val="superscript"/>
        <sz val="20"/>
        <color theme="1"/>
        <rFont val="Calibri Light"/>
        <family val="2"/>
        <scheme val="major"/>
      </rPr>
      <t>2</t>
    </r>
    <r>
      <rPr>
        <sz val="20"/>
        <color theme="1"/>
        <rFont val="Calibri Light"/>
        <family val="2"/>
        <scheme val="major"/>
      </rPr>
      <t xml:space="preserve">), </t>
    </r>
    <r>
      <rPr>
        <sz val="20"/>
        <color theme="1"/>
        <rFont val="Calibri"/>
        <family val="2"/>
      </rPr>
      <t>≤</t>
    </r>
    <r>
      <rPr>
        <sz val="20"/>
        <color theme="1"/>
        <rFont val="Calibri Light"/>
        <family val="2"/>
        <scheme val="major"/>
      </rPr>
      <t xml:space="preserve"> 10 OCCUPANTS</t>
    </r>
  </si>
  <si>
    <r>
      <t>AREA: 45 m</t>
    </r>
    <r>
      <rPr>
        <vertAlign val="superscript"/>
        <sz val="20"/>
        <color theme="1"/>
        <rFont val="Calibri Light"/>
        <family val="2"/>
        <scheme val="major"/>
      </rPr>
      <t>2</t>
    </r>
    <r>
      <rPr>
        <sz val="20"/>
        <color theme="1"/>
        <rFont val="Calibri Light"/>
        <family val="2"/>
        <scheme val="major"/>
      </rPr>
      <t xml:space="preserve"> (484 ft</t>
    </r>
    <r>
      <rPr>
        <vertAlign val="superscript"/>
        <sz val="20"/>
        <color theme="1"/>
        <rFont val="Calibri Light"/>
        <family val="2"/>
        <scheme val="major"/>
      </rPr>
      <t>2</t>
    </r>
    <r>
      <rPr>
        <sz val="20"/>
        <color theme="1"/>
        <rFont val="Calibri Light"/>
        <family val="2"/>
        <scheme val="major"/>
      </rPr>
      <t xml:space="preserve">), </t>
    </r>
    <r>
      <rPr>
        <sz val="20"/>
        <color theme="1"/>
        <rFont val="Calibri"/>
        <family val="2"/>
      </rPr>
      <t>≤</t>
    </r>
    <r>
      <rPr>
        <sz val="20"/>
        <color theme="1"/>
        <rFont val="Calibri Light"/>
        <family val="2"/>
        <scheme val="major"/>
      </rPr>
      <t xml:space="preserve"> 15 OCCUPANTS</t>
    </r>
  </si>
  <si>
    <t>Pre-fabricated Phone Booths are currently an NSA product. A draft specification is currently under review.</t>
  </si>
  <si>
    <r>
      <t>AREA: 12 m</t>
    </r>
    <r>
      <rPr>
        <vertAlign val="superscript"/>
        <sz val="20"/>
        <color theme="1"/>
        <rFont val="Calibri Light"/>
        <family val="2"/>
        <scheme val="major"/>
      </rPr>
      <t>2</t>
    </r>
    <r>
      <rPr>
        <sz val="20"/>
        <color theme="1"/>
        <rFont val="Calibri Light"/>
        <family val="2"/>
        <scheme val="major"/>
      </rPr>
      <t xml:space="preserve"> (129 ft</t>
    </r>
    <r>
      <rPr>
        <vertAlign val="superscript"/>
        <sz val="20"/>
        <color theme="1"/>
        <rFont val="Calibri Light"/>
        <family val="2"/>
        <scheme val="major"/>
      </rPr>
      <t>2</t>
    </r>
    <r>
      <rPr>
        <sz val="20"/>
        <color theme="1"/>
        <rFont val="Calibri Light"/>
        <family val="2"/>
        <scheme val="major"/>
      </rPr>
      <t>), 4 OCCUPANTS</t>
    </r>
  </si>
  <si>
    <t>Tips and Tricks</t>
  </si>
  <si>
    <r>
      <rPr>
        <sz val="10"/>
        <color theme="1"/>
        <rFont val="Calibri Light"/>
        <family val="2"/>
      </rPr>
      <t xml:space="preserve">• </t>
    </r>
    <r>
      <rPr>
        <sz val="10"/>
        <color theme="1"/>
        <rFont val="Calibri Light"/>
        <family val="2"/>
        <scheme val="major"/>
      </rPr>
      <t>Tables (B) can be grouped together to make one long table.</t>
    </r>
  </si>
  <si>
    <r>
      <rPr>
        <sz val="10"/>
        <color theme="1"/>
        <rFont val="Calibri Light"/>
        <family val="2"/>
      </rPr>
      <t xml:space="preserve">• </t>
    </r>
    <r>
      <rPr>
        <sz val="10"/>
        <color theme="1"/>
        <rFont val="Calibri Light"/>
        <family val="2"/>
        <scheme val="major"/>
      </rPr>
      <t>Stools (C) can be pulled up to tables (B) as additional seating.</t>
    </r>
  </si>
  <si>
    <r>
      <t>AREA: 28 m</t>
    </r>
    <r>
      <rPr>
        <vertAlign val="superscript"/>
        <sz val="20"/>
        <color theme="1"/>
        <rFont val="Calibri Light"/>
        <family val="2"/>
        <scheme val="major"/>
      </rPr>
      <t>2</t>
    </r>
    <r>
      <rPr>
        <sz val="20"/>
        <color theme="1"/>
        <rFont val="Calibri Light"/>
        <family val="2"/>
        <scheme val="major"/>
      </rPr>
      <t xml:space="preserve"> (301 ft</t>
    </r>
    <r>
      <rPr>
        <vertAlign val="superscript"/>
        <sz val="20"/>
        <color theme="1"/>
        <rFont val="Calibri Light"/>
        <family val="2"/>
        <scheme val="major"/>
      </rPr>
      <t>2</t>
    </r>
    <r>
      <rPr>
        <sz val="20"/>
        <color theme="1"/>
        <rFont val="Calibri Light"/>
        <family val="2"/>
        <scheme val="major"/>
      </rPr>
      <t>), 8 - 10 OCCUPANTS</t>
    </r>
  </si>
  <si>
    <t xml:space="preserve">Fixed Work Surface </t>
  </si>
  <si>
    <t>Fixed Work Surface</t>
  </si>
  <si>
    <r>
      <t>120</t>
    </r>
    <r>
      <rPr>
        <sz val="10"/>
        <color theme="1"/>
        <rFont val="Calibri"/>
        <family val="2"/>
      </rPr>
      <t>⁰</t>
    </r>
    <r>
      <rPr>
        <sz val="10"/>
        <color theme="1"/>
        <rFont val="Calibri Light"/>
        <family val="2"/>
        <scheme val="major"/>
      </rPr>
      <t xml:space="preserve"> Height Adjustable Work Surface</t>
    </r>
  </si>
  <si>
    <t>None, specify through additional product details</t>
  </si>
  <si>
    <t>FURNITURE COSTING</t>
  </si>
  <si>
    <t>GCWORKPLACE STANDARD FURNITURE TYPICALS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</si>
</sst>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_(&quot;$&quot;* #,##0.00_);_(&quot;$&quot;* \(#,##0.00\);_(&quot;$&quot;* &quot;-&quot;??_);_(@_)"/>
  </numFmts>
  <fonts count="45" x14ac:knownFonts="1">
    <font>
      <sz val="11"/>
      <color theme="1"/>
      <name val="Calibri"/>
      <family val="2"/>
      <scheme val="minor"/>
    </font>
    <font>
      <b/>
      <sz val="36"/>
      <color theme="1"/>
      <name val="Tw Cen MT"/>
      <family val="2"/>
    </font>
    <font>
      <sz val="20"/>
      <color theme="1"/>
      <name val="Calibri Light"/>
      <family val="2"/>
      <scheme val="major"/>
    </font>
    <font>
      <b/>
      <sz val="20"/>
      <color theme="0"/>
      <name val="Tw Cen MT"/>
      <family val="2"/>
    </font>
    <font>
      <b/>
      <sz val="11"/>
      <color theme="1"/>
      <name val="Calibri"/>
      <family val="2"/>
      <scheme val="minor"/>
    </font>
    <font>
      <sz val="11"/>
      <color theme="0"/>
      <name val="Calibri"/>
      <family val="2"/>
      <scheme val="minor"/>
    </font>
    <font>
      <b/>
      <sz val="11"/>
      <color theme="0"/>
      <name val="Tw Cen MT"/>
      <family val="2"/>
    </font>
    <font>
      <sz val="10"/>
      <color theme="1"/>
      <name val="Calibri Light"/>
      <family val="2"/>
    </font>
    <font>
      <sz val="10"/>
      <color theme="1"/>
      <name val="Calibri Light"/>
      <family val="2"/>
      <scheme val="major"/>
    </font>
    <font>
      <i/>
      <sz val="10"/>
      <color theme="0" tint="-0.499984740745262"/>
      <name val="Calibri Light"/>
      <family val="2"/>
      <scheme val="major"/>
    </font>
    <font>
      <vertAlign val="superscript"/>
      <sz val="20"/>
      <color theme="1"/>
      <name val="Calibri Light"/>
      <family val="2"/>
      <scheme val="major"/>
    </font>
    <font>
      <u/>
      <sz val="11"/>
      <color theme="10"/>
      <name val="Calibri"/>
      <family val="2"/>
      <scheme val="minor"/>
    </font>
    <font>
      <i/>
      <u/>
      <sz val="11"/>
      <color theme="10"/>
      <name val="Calibri"/>
      <family val="2"/>
      <scheme val="minor"/>
    </font>
    <font>
      <sz val="10"/>
      <color theme="0"/>
      <name val="Calibri Light"/>
      <family val="2"/>
      <scheme val="major"/>
    </font>
    <font>
      <sz val="10"/>
      <color theme="1"/>
      <name val="Calibri"/>
      <family val="2"/>
    </font>
    <font>
      <i/>
      <sz val="10"/>
      <color theme="2" tint="-0.499984740745262"/>
      <name val="Calibri Light"/>
      <family val="2"/>
      <scheme val="major"/>
    </font>
    <font>
      <sz val="11"/>
      <color theme="1"/>
      <name val="Calibri"/>
      <family val="2"/>
      <scheme val="minor"/>
    </font>
    <font>
      <sz val="11"/>
      <color rgb="FFFF0000"/>
      <name val="Calibri"/>
      <family val="2"/>
      <scheme val="minor"/>
    </font>
    <font>
      <sz val="10"/>
      <color rgb="FFFF0000"/>
      <name val="Calibri Light"/>
      <family val="2"/>
      <scheme val="major"/>
    </font>
    <font>
      <sz val="20"/>
      <color rgb="FFFF0000"/>
      <name val="Calibri Light"/>
      <family val="2"/>
      <scheme val="major"/>
    </font>
    <font>
      <vertAlign val="superscript"/>
      <sz val="20"/>
      <color rgb="FFFF0000"/>
      <name val="Calibri Light"/>
      <family val="2"/>
      <scheme val="major"/>
    </font>
    <font>
      <sz val="10"/>
      <name val="Calibri Light"/>
      <family val="2"/>
      <scheme val="major"/>
    </font>
    <font>
      <sz val="20"/>
      <name val="Calibri Light"/>
      <family val="2"/>
      <scheme val="major"/>
    </font>
    <font>
      <sz val="11"/>
      <name val="Calibri"/>
      <family val="2"/>
      <scheme val="minor"/>
    </font>
    <font>
      <i/>
      <sz val="11"/>
      <color theme="2" tint="-0.499984740745262"/>
      <name val="Calibri"/>
      <family val="2"/>
      <scheme val="minor"/>
    </font>
    <font>
      <sz val="16"/>
      <name val="Calibri Light"/>
      <family val="2"/>
      <scheme val="major"/>
    </font>
    <font>
      <b/>
      <sz val="11"/>
      <color theme="1"/>
      <name val="Arial"/>
      <family val="2"/>
    </font>
    <font>
      <sz val="11"/>
      <color theme="1"/>
      <name val="Arial"/>
      <family val="2"/>
    </font>
    <font>
      <b/>
      <sz val="12"/>
      <color theme="1"/>
      <name val="Arial"/>
      <family val="2"/>
    </font>
    <font>
      <b/>
      <sz val="11"/>
      <name val="Tw Cen MT"/>
      <family val="2"/>
    </font>
    <font>
      <b/>
      <sz val="11"/>
      <color theme="1"/>
      <name val="Tw Cen MT"/>
      <family val="2"/>
    </font>
    <font>
      <b/>
      <sz val="11"/>
      <color theme="1" tint="0.249977111117893"/>
      <name val="Tw Cen MT"/>
      <family val="2"/>
    </font>
    <font>
      <b/>
      <sz val="10"/>
      <color theme="1"/>
      <name val="Calibri Light"/>
      <family val="2"/>
    </font>
    <font>
      <sz val="10"/>
      <color rgb="FF454545"/>
      <name val="Calibri Light"/>
      <family val="2"/>
    </font>
    <font>
      <sz val="10"/>
      <name val="Calibri Light"/>
      <family val="2"/>
    </font>
    <font>
      <sz val="20"/>
      <color theme="1"/>
      <name val="Tw Cen MT"/>
      <family val="2"/>
    </font>
    <font>
      <sz val="11"/>
      <color theme="1"/>
      <name val="Tw Cen MT"/>
      <family val="2"/>
    </font>
    <font>
      <sz val="11"/>
      <color theme="1" tint="0.249977111117893"/>
      <name val="Tw Cen MT"/>
      <family val="2"/>
    </font>
    <font>
      <b/>
      <sz val="36"/>
      <name val="Tw Cen MT"/>
      <family val="2"/>
    </font>
    <font>
      <sz val="10"/>
      <color theme="1" tint="0.499984740745262"/>
      <name val="Calibri Light"/>
      <family val="2"/>
      <scheme val="major"/>
    </font>
    <font>
      <b/>
      <sz val="10"/>
      <color theme="1"/>
      <name val="Calibri Light"/>
      <family val="2"/>
      <scheme val="major"/>
    </font>
    <font>
      <b/>
      <u/>
      <sz val="11"/>
      <color theme="0"/>
      <name val="Tw Cen MT"/>
      <family val="2"/>
    </font>
    <font>
      <sz val="20"/>
      <color theme="1"/>
      <name val="Calibri"/>
      <family val="2"/>
    </font>
    <font>
      <vertAlign val="superscript"/>
      <sz val="20"/>
      <name val="Calibri Light"/>
      <family val="2"/>
      <scheme val="major"/>
    </font>
    <font>
      <sz val="11"/>
      <name val="Tw Cen MT"/>
      <family val="2"/>
    </font>
  </fonts>
  <fills count="17">
    <fill>
      <patternFill patternType="none"/>
    </fill>
    <fill>
      <patternFill patternType="gray125"/>
    </fill>
    <fill>
      <patternFill patternType="solid">
        <fgColor theme="2" tint="-0.499984740745262"/>
        <bgColor indexed="64"/>
      </patternFill>
    </fill>
    <fill>
      <patternFill patternType="solid">
        <fgColor theme="2"/>
        <bgColor indexed="64"/>
      </patternFill>
    </fill>
    <fill>
      <patternFill patternType="solid">
        <fgColor theme="1" tint="0.249977111117893"/>
        <bgColor indexed="64"/>
      </patternFill>
    </fill>
    <fill>
      <patternFill patternType="solid">
        <fgColor rgb="FF03BADF"/>
        <bgColor indexed="64"/>
      </patternFill>
    </fill>
    <fill>
      <patternFill patternType="solid">
        <fgColor rgb="FFDDF9FF"/>
        <bgColor indexed="64"/>
      </patternFill>
    </fill>
    <fill>
      <patternFill patternType="solid">
        <fgColor rgb="FFFDEB03"/>
        <bgColor indexed="64"/>
      </patternFill>
    </fill>
    <fill>
      <patternFill patternType="solid">
        <fgColor rgb="FFFFFCD1"/>
        <bgColor indexed="64"/>
      </patternFill>
    </fill>
    <fill>
      <patternFill patternType="solid">
        <fgColor rgb="FF626694"/>
        <bgColor indexed="64"/>
      </patternFill>
    </fill>
    <fill>
      <patternFill patternType="solid">
        <fgColor rgb="FFD7D8E5"/>
        <bgColor indexed="64"/>
      </patternFill>
    </fill>
    <fill>
      <patternFill patternType="solid">
        <fgColor rgb="FFDB63F3"/>
        <bgColor indexed="64"/>
      </patternFill>
    </fill>
    <fill>
      <patternFill patternType="solid">
        <fgColor rgb="FFF5D4FC"/>
        <bgColor indexed="64"/>
      </patternFill>
    </fill>
    <fill>
      <patternFill patternType="solid">
        <fgColor rgb="FF50C08B"/>
        <bgColor indexed="64"/>
      </patternFill>
    </fill>
    <fill>
      <patternFill patternType="solid">
        <fgColor rgb="FFC7EBDA"/>
        <bgColor indexed="64"/>
      </patternFill>
    </fill>
    <fill>
      <patternFill patternType="solid">
        <fgColor theme="0" tint="-4.9989318521683403E-2"/>
        <bgColor indexed="64"/>
      </patternFill>
    </fill>
    <fill>
      <patternFill patternType="solid">
        <fgColor theme="0"/>
        <bgColor indexed="64"/>
      </patternFill>
    </fill>
  </fills>
  <borders count="148">
    <border>
      <left/>
      <right/>
      <top/>
      <bottom/>
      <diagonal/>
    </border>
    <border>
      <left style="thin">
        <color rgb="FF03BADF"/>
      </left>
      <right style="thin">
        <color rgb="FF03BADF"/>
      </right>
      <top/>
      <bottom/>
      <diagonal/>
    </border>
    <border>
      <left/>
      <right/>
      <top/>
      <bottom style="thin">
        <color theme="2" tint="-0.499984740745262"/>
      </bottom>
      <diagonal/>
    </border>
    <border>
      <left style="thin">
        <color rgb="FF03BADF"/>
      </left>
      <right style="thin">
        <color rgb="FF03BADF"/>
      </right>
      <top/>
      <bottom style="thin">
        <color theme="2" tint="-0.499984740745262"/>
      </bottom>
      <diagonal/>
    </border>
    <border>
      <left/>
      <right/>
      <top style="thin">
        <color theme="2" tint="-0.499984740745262"/>
      </top>
      <bottom style="thin">
        <color theme="2" tint="-0.499984740745262"/>
      </bottom>
      <diagonal/>
    </border>
    <border>
      <left style="thin">
        <color rgb="FF03BADF"/>
      </left>
      <right style="thin">
        <color rgb="FF03BADF"/>
      </right>
      <top style="thin">
        <color theme="2" tint="-0.499984740745262"/>
      </top>
      <bottom style="thin">
        <color theme="2" tint="-0.499984740745262"/>
      </bottom>
      <diagonal/>
    </border>
    <border>
      <left/>
      <right/>
      <top style="thin">
        <color theme="2" tint="-0.499984740745262"/>
      </top>
      <bottom style="medium">
        <color auto="1"/>
      </bottom>
      <diagonal/>
    </border>
    <border>
      <left style="thin">
        <color rgb="FF03BADF"/>
      </left>
      <right style="thin">
        <color rgb="FF03BADF"/>
      </right>
      <top style="thin">
        <color theme="2" tint="-0.499984740745262"/>
      </top>
      <bottom style="medium">
        <color auto="1"/>
      </bottom>
      <diagonal/>
    </border>
    <border>
      <left/>
      <right/>
      <top style="thin">
        <color theme="2" tint="-0.499984740745262"/>
      </top>
      <bottom/>
      <diagonal/>
    </border>
    <border>
      <left style="thin">
        <color rgb="FFFDEB03"/>
      </left>
      <right style="thin">
        <color rgb="FFFDEB03"/>
      </right>
      <top/>
      <bottom/>
      <diagonal/>
    </border>
    <border>
      <left style="thin">
        <color rgb="FFFDEB03"/>
      </left>
      <right style="thin">
        <color rgb="FFFDEB03"/>
      </right>
      <top/>
      <bottom style="thin">
        <color theme="2" tint="-0.499984740745262"/>
      </bottom>
      <diagonal/>
    </border>
    <border>
      <left style="thin">
        <color rgb="FFFDEB03"/>
      </left>
      <right style="thin">
        <color rgb="FFFDEB03"/>
      </right>
      <top style="thin">
        <color theme="2" tint="-0.499984740745262"/>
      </top>
      <bottom style="thin">
        <color theme="2" tint="-0.499984740745262"/>
      </bottom>
      <diagonal/>
    </border>
    <border>
      <left style="thin">
        <color rgb="FFFDEB03"/>
      </left>
      <right style="thin">
        <color rgb="FFFDEB03"/>
      </right>
      <top style="thin">
        <color theme="2" tint="-0.499984740745262"/>
      </top>
      <bottom style="medium">
        <color auto="1"/>
      </bottom>
      <diagonal/>
    </border>
    <border>
      <left style="thin">
        <color rgb="FF626694"/>
      </left>
      <right style="thin">
        <color rgb="FF626694"/>
      </right>
      <top/>
      <bottom style="thin">
        <color theme="2" tint="-0.499984740745262"/>
      </bottom>
      <diagonal/>
    </border>
    <border>
      <left style="thin">
        <color rgb="FF626694"/>
      </left>
      <right style="thin">
        <color rgb="FF626694"/>
      </right>
      <top style="thin">
        <color theme="2" tint="-0.499984740745262"/>
      </top>
      <bottom style="thin">
        <color theme="2" tint="-0.499984740745262"/>
      </bottom>
      <diagonal/>
    </border>
    <border>
      <left style="thin">
        <color rgb="FF626694"/>
      </left>
      <right style="thin">
        <color rgb="FF626694"/>
      </right>
      <top style="thin">
        <color theme="2" tint="-0.499984740745262"/>
      </top>
      <bottom style="medium">
        <color auto="1"/>
      </bottom>
      <diagonal/>
    </border>
    <border>
      <left style="thin">
        <color rgb="FF626694"/>
      </left>
      <right style="thin">
        <color rgb="FF626694"/>
      </right>
      <top style="thin">
        <color theme="2" tint="-0.499984740745262"/>
      </top>
      <bottom/>
      <diagonal/>
    </border>
    <border>
      <left style="thin">
        <color rgb="FFDB63F3"/>
      </left>
      <right style="thin">
        <color rgb="FFDB63F3"/>
      </right>
      <top/>
      <bottom style="thin">
        <color theme="2" tint="-0.499984740745262"/>
      </bottom>
      <diagonal/>
    </border>
    <border>
      <left style="thin">
        <color rgb="FFDB63F3"/>
      </left>
      <right style="thin">
        <color rgb="FFDB63F3"/>
      </right>
      <top style="thin">
        <color theme="2" tint="-0.499984740745262"/>
      </top>
      <bottom style="thin">
        <color theme="2" tint="-0.499984740745262"/>
      </bottom>
      <diagonal/>
    </border>
    <border>
      <left style="thin">
        <color rgb="FFDB63F3"/>
      </left>
      <right style="thin">
        <color rgb="FFDB63F3"/>
      </right>
      <top style="thin">
        <color theme="2" tint="-0.499984740745262"/>
      </top>
      <bottom style="medium">
        <color auto="1"/>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medium">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FDEB03"/>
      </left>
      <right style="thin">
        <color rgb="FFFDEB03"/>
      </right>
      <top style="thin">
        <color theme="2" tint="-0.499984740745262"/>
      </top>
      <bottom style="medium">
        <color theme="1" tint="0.24994659260841701"/>
      </bottom>
      <diagonal/>
    </border>
    <border>
      <left/>
      <right/>
      <top style="thin">
        <color theme="2" tint="-0.499984740745262"/>
      </top>
      <bottom style="medium">
        <color theme="1" tint="0.24994659260841701"/>
      </bottom>
      <diagonal/>
    </border>
    <border>
      <left style="thin">
        <color rgb="FF626694"/>
      </left>
      <right style="thin">
        <color rgb="FF626694"/>
      </right>
      <top/>
      <bottom style="medium">
        <color auto="1"/>
      </bottom>
      <diagonal/>
    </border>
    <border>
      <left style="thin">
        <color rgb="FF626694"/>
      </left>
      <right style="thin">
        <color rgb="FF626694"/>
      </right>
      <top style="thin">
        <color theme="2" tint="-0.499984740745262"/>
      </top>
      <bottom style="medium">
        <color theme="1" tint="0.24994659260841701"/>
      </bottom>
      <diagonal/>
    </border>
    <border>
      <left style="thin">
        <color rgb="FFDB63F3"/>
      </left>
      <right style="thin">
        <color rgb="FFDB63F3"/>
      </right>
      <top/>
      <bottom style="medium">
        <color auto="1"/>
      </bottom>
      <diagonal/>
    </border>
    <border>
      <left style="thin">
        <color rgb="FFDB63F3"/>
      </left>
      <right style="thin">
        <color rgb="FFDB63F3"/>
      </right>
      <top style="thin">
        <color theme="2" tint="-0.499984740745262"/>
      </top>
      <bottom style="medium">
        <color theme="1" tint="0.24994659260841701"/>
      </bottom>
      <diagonal/>
    </border>
    <border>
      <left style="thin">
        <color rgb="FFFDEB03"/>
      </left>
      <right style="thin">
        <color rgb="FFFDEB03"/>
      </right>
      <top/>
      <bottom style="medium">
        <color auto="1"/>
      </bottom>
      <diagonal/>
    </border>
    <border>
      <left style="medium">
        <color rgb="FFFDEB03"/>
      </left>
      <right style="thin">
        <color rgb="FFFDEB03"/>
      </right>
      <top/>
      <bottom/>
      <diagonal/>
    </border>
    <border>
      <left style="medium">
        <color rgb="FFFDEB03"/>
      </left>
      <right style="thin">
        <color rgb="FFFDEB03"/>
      </right>
      <top/>
      <bottom style="thin">
        <color theme="2" tint="-0.499984740745262"/>
      </bottom>
      <diagonal/>
    </border>
    <border>
      <left style="medium">
        <color rgb="FFFDEB03"/>
      </left>
      <right style="thin">
        <color rgb="FFFDEB03"/>
      </right>
      <top style="thin">
        <color theme="2" tint="-0.499984740745262"/>
      </top>
      <bottom style="medium">
        <color auto="1"/>
      </bottom>
      <diagonal/>
    </border>
    <border>
      <left style="thin">
        <color rgb="FF03BADF"/>
      </left>
      <right style="thin">
        <color rgb="FF03BADF"/>
      </right>
      <top style="thin">
        <color theme="2" tint="-0.499984740745262"/>
      </top>
      <bottom style="medium">
        <color theme="1" tint="0.24994659260841701"/>
      </bottom>
      <diagonal/>
    </border>
    <border>
      <left/>
      <right/>
      <top/>
      <bottom style="medium">
        <color auto="1"/>
      </bottom>
      <diagonal/>
    </border>
    <border>
      <left/>
      <right/>
      <top/>
      <bottom style="medium">
        <color theme="1" tint="0.24994659260841701"/>
      </bottom>
      <diagonal/>
    </border>
    <border>
      <left style="thin">
        <color rgb="FF626694"/>
      </left>
      <right style="thin">
        <color rgb="FF626694"/>
      </right>
      <top/>
      <bottom style="medium">
        <color theme="1" tint="0.24994659260841701"/>
      </bottom>
      <diagonal/>
    </border>
    <border>
      <left style="thin">
        <color rgb="FFDB63F3"/>
      </left>
      <right style="thin">
        <color rgb="FFDB63F3"/>
      </right>
      <top/>
      <bottom style="medium">
        <color theme="1" tint="0.24994659260841701"/>
      </bottom>
      <diagonal/>
    </border>
    <border>
      <left style="thin">
        <color rgb="FFFDEB03"/>
      </left>
      <right style="thin">
        <color rgb="FFFDEB03"/>
      </right>
      <top/>
      <bottom style="medium">
        <color theme="1" tint="0.24994659260841701"/>
      </bottom>
      <diagonal/>
    </border>
    <border>
      <left style="medium">
        <color rgb="FFFDEB03"/>
      </left>
      <right style="thin">
        <color rgb="FFFDEB03"/>
      </right>
      <top/>
      <bottom style="medium">
        <color theme="1" tint="0.24994659260841701"/>
      </bottom>
      <diagonal/>
    </border>
    <border>
      <left style="thin">
        <color rgb="FF03BADF"/>
      </left>
      <right style="thin">
        <color rgb="FF03BADF"/>
      </right>
      <top/>
      <bottom style="medium">
        <color theme="1" tint="0.24994659260841701"/>
      </bottom>
      <diagonal/>
    </border>
    <border>
      <left style="thin">
        <color theme="2" tint="-0.499984740745262"/>
      </left>
      <right style="thin">
        <color theme="2" tint="-0.499984740745262"/>
      </right>
      <top/>
      <bottom style="medium">
        <color theme="1" tint="0.24994659260841701"/>
      </bottom>
      <diagonal/>
    </border>
    <border>
      <left style="thin">
        <color theme="2" tint="-0.499984740745262"/>
      </left>
      <right style="thin">
        <color theme="2" tint="-0.499984740745262"/>
      </right>
      <top style="thin">
        <color theme="2" tint="-0.499984740745262"/>
      </top>
      <bottom style="medium">
        <color theme="1" tint="0.24994659260841701"/>
      </bottom>
      <diagonal/>
    </border>
    <border>
      <left style="thin">
        <color theme="2" tint="-0.499984740745262"/>
      </left>
      <right style="thin">
        <color theme="2" tint="-0.499984740745262"/>
      </right>
      <top style="thin">
        <color theme="2" tint="-0.499984740745262"/>
      </top>
      <bottom/>
      <diagonal/>
    </border>
    <border>
      <left style="medium">
        <color rgb="FFFDEB03"/>
      </left>
      <right style="thin">
        <color rgb="FFFDEB03"/>
      </right>
      <top style="thin">
        <color theme="2" tint="-0.499984740745262"/>
      </top>
      <bottom style="thin">
        <color theme="2" tint="-0.499984740745262"/>
      </bottom>
      <diagonal/>
    </border>
    <border>
      <left style="thin">
        <color rgb="FFFDEB03"/>
      </left>
      <right/>
      <top style="thin">
        <color theme="2" tint="-0.499984740745262"/>
      </top>
      <bottom style="medium">
        <color theme="1" tint="0.24994659260841701"/>
      </bottom>
      <diagonal/>
    </border>
    <border>
      <left style="thin">
        <color rgb="FF50C08B"/>
      </left>
      <right style="thin">
        <color rgb="FF50C08B"/>
      </right>
      <top/>
      <bottom/>
      <diagonal/>
    </border>
    <border>
      <left style="thin">
        <color rgb="FF50C08B"/>
      </left>
      <right style="thin">
        <color rgb="FF50C08B"/>
      </right>
      <top/>
      <bottom style="thin">
        <color theme="2" tint="-0.499984740745262"/>
      </bottom>
      <diagonal/>
    </border>
    <border>
      <left style="thin">
        <color rgb="FF50C08B"/>
      </left>
      <right style="thin">
        <color rgb="FF50C08B"/>
      </right>
      <top style="thin">
        <color theme="2" tint="-0.499984740745262"/>
      </top>
      <bottom style="medium">
        <color auto="1"/>
      </bottom>
      <diagonal/>
    </border>
    <border>
      <left style="thin">
        <color rgb="FF50C08B"/>
      </left>
      <right/>
      <top/>
      <bottom/>
      <diagonal/>
    </border>
    <border>
      <left/>
      <right style="thin">
        <color rgb="FF50C08B"/>
      </right>
      <top/>
      <bottom/>
      <diagonal/>
    </border>
    <border>
      <left style="thin">
        <color rgb="FF50C08B"/>
      </left>
      <right/>
      <top/>
      <bottom style="thin">
        <color theme="2" tint="-0.499984740745262"/>
      </bottom>
      <diagonal/>
    </border>
    <border>
      <left/>
      <right style="thin">
        <color rgb="FF50C08B"/>
      </right>
      <top/>
      <bottom style="thin">
        <color theme="2" tint="-0.499984740745262"/>
      </bottom>
      <diagonal/>
    </border>
    <border>
      <left style="thin">
        <color rgb="FF50C08B"/>
      </left>
      <right/>
      <top style="thin">
        <color theme="2" tint="-0.499984740745262"/>
      </top>
      <bottom style="medium">
        <color auto="1"/>
      </bottom>
      <diagonal/>
    </border>
    <border>
      <left/>
      <right style="thin">
        <color rgb="FF50C08B"/>
      </right>
      <top style="thin">
        <color theme="2" tint="-0.499984740745262"/>
      </top>
      <bottom style="medium">
        <color auto="1"/>
      </bottom>
      <diagonal/>
    </border>
    <border>
      <left style="thin">
        <color rgb="FF50C08B"/>
      </left>
      <right style="thin">
        <color rgb="FF50C08B"/>
      </right>
      <top style="thin">
        <color theme="2" tint="-0.499984740745262"/>
      </top>
      <bottom style="thin">
        <color theme="2" tint="-0.499984740745262"/>
      </bottom>
      <diagonal/>
    </border>
    <border>
      <left style="thin">
        <color rgb="FF50C08B"/>
      </left>
      <right style="thin">
        <color rgb="FF50C08B"/>
      </right>
      <top style="thin">
        <color theme="2" tint="-0.499984740745262"/>
      </top>
      <bottom style="medium">
        <color theme="1" tint="0.24994659260841701"/>
      </bottom>
      <diagonal/>
    </border>
    <border>
      <left/>
      <right/>
      <top/>
      <bottom style="medium">
        <color rgb="FF50C08B"/>
      </bottom>
      <diagonal/>
    </border>
    <border>
      <left/>
      <right/>
      <top/>
      <bottom style="medium">
        <color rgb="FF626694"/>
      </bottom>
      <diagonal/>
    </border>
    <border>
      <left/>
      <right/>
      <top/>
      <bottom style="medium">
        <color rgb="FFDB63F3"/>
      </bottom>
      <diagonal/>
    </border>
    <border>
      <left/>
      <right/>
      <top/>
      <bottom style="medium">
        <color rgb="FFFDEB03"/>
      </bottom>
      <diagonal/>
    </border>
    <border>
      <left/>
      <right/>
      <top/>
      <bottom style="medium">
        <color rgb="FF03BADF"/>
      </bottom>
      <diagonal/>
    </border>
    <border>
      <left/>
      <right/>
      <top/>
      <bottom style="medium">
        <color theme="2" tint="-0.499984740745262"/>
      </bottom>
      <diagonal/>
    </border>
    <border>
      <left style="thin">
        <color rgb="FF50C08B"/>
      </left>
      <right style="thin">
        <color rgb="FF50C08B"/>
      </right>
      <top/>
      <bottom style="medium">
        <color auto="1"/>
      </bottom>
      <diagonal/>
    </border>
    <border>
      <left style="thin">
        <color rgb="FF50C08B"/>
      </left>
      <right style="thin">
        <color rgb="FF50C08B"/>
      </right>
      <top/>
      <bottom style="medium">
        <color theme="1" tint="0.24994659260841701"/>
      </bottom>
      <diagonal/>
    </border>
    <border>
      <left style="thin">
        <color rgb="FF50C08B"/>
      </left>
      <right style="thin">
        <color rgb="FF50C08B"/>
      </right>
      <top style="thin">
        <color theme="2" tint="-0.499984740745262"/>
      </top>
      <bottom/>
      <diagonal/>
    </border>
    <border>
      <left style="thin">
        <color rgb="FFDB63F3"/>
      </left>
      <right style="thin">
        <color rgb="FFDB63F3"/>
      </right>
      <top/>
      <bottom/>
      <diagonal/>
    </border>
    <border>
      <left/>
      <right/>
      <top style="medium">
        <color theme="1" tint="0.24994659260841701"/>
      </top>
      <bottom/>
      <diagonal/>
    </border>
    <border>
      <left/>
      <right/>
      <top style="medium">
        <color theme="1" tint="0.24994659260841701"/>
      </top>
      <bottom style="medium">
        <color auto="1"/>
      </bottom>
      <diagonal/>
    </border>
    <border>
      <left style="thin">
        <color rgb="FFFDEB03"/>
      </left>
      <right style="thin">
        <color rgb="FFFDEB03"/>
      </right>
      <top style="medium">
        <color theme="1" tint="0.24994659260841701"/>
      </top>
      <bottom/>
      <diagonal/>
    </border>
    <border>
      <left/>
      <right/>
      <top style="medium">
        <color theme="1" tint="0.24994659260841701"/>
      </top>
      <bottom style="thin">
        <color theme="2" tint="-0.499984740745262"/>
      </bottom>
      <diagonal/>
    </border>
    <border>
      <left style="thin">
        <color rgb="FF03BADF"/>
      </left>
      <right style="thin">
        <color rgb="FF03BADF"/>
      </right>
      <top style="medium">
        <color theme="1" tint="0.24994659260841701"/>
      </top>
      <bottom style="thin">
        <color theme="2" tint="-0.499984740745262"/>
      </bottom>
      <diagonal/>
    </border>
    <border>
      <left style="thin">
        <color rgb="FFFDEB03"/>
      </left>
      <right style="thin">
        <color rgb="FFFDEB03"/>
      </right>
      <top style="medium">
        <color theme="1" tint="0.24994659260841701"/>
      </top>
      <bottom style="thin">
        <color theme="2" tint="-0.499984740745262"/>
      </bottom>
      <diagonal/>
    </border>
    <border>
      <left/>
      <right/>
      <top style="medium">
        <color theme="1" tint="0.24994659260841701"/>
      </top>
      <bottom style="medium">
        <color theme="1" tint="0.24994659260841701"/>
      </bottom>
      <diagonal/>
    </border>
    <border>
      <left style="thin">
        <color rgb="FFFDEB03"/>
      </left>
      <right style="thin">
        <color rgb="FFFDEB03"/>
      </right>
      <top style="medium">
        <color theme="1" tint="0.24994659260841701"/>
      </top>
      <bottom style="medium">
        <color theme="1"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style="thin">
        <color rgb="FF50C08B"/>
      </left>
      <right style="thin">
        <color rgb="FF50C08B"/>
      </right>
      <top style="thin">
        <color theme="0" tint="-0.24994659260841701"/>
      </top>
      <bottom style="thin">
        <color theme="0" tint="-0.24994659260841701"/>
      </bottom>
      <diagonal/>
    </border>
    <border>
      <left style="thin">
        <color rgb="FF50C08B"/>
      </left>
      <right/>
      <top style="thin">
        <color theme="0" tint="-0.24994659260841701"/>
      </top>
      <bottom style="thin">
        <color theme="0" tint="-0.24994659260841701"/>
      </bottom>
      <diagonal/>
    </border>
    <border>
      <left/>
      <right style="thin">
        <color rgb="FF50C08B"/>
      </right>
      <top style="thin">
        <color theme="0" tint="-0.24994659260841701"/>
      </top>
      <bottom style="thin">
        <color theme="0" tint="-0.24994659260841701"/>
      </bottom>
      <diagonal/>
    </border>
    <border>
      <left style="thin">
        <color rgb="FF50C08B"/>
      </left>
      <right style="thin">
        <color rgb="FF50C08B"/>
      </right>
      <top style="thin">
        <color theme="0" tint="-0.24994659260841701"/>
      </top>
      <bottom style="medium">
        <color theme="1" tint="0.24994659260841701"/>
      </bottom>
      <diagonal/>
    </border>
    <border>
      <left style="thin">
        <color rgb="FF50C08B"/>
      </left>
      <right style="thin">
        <color rgb="FF50C08B"/>
      </right>
      <top style="medium">
        <color theme="1" tint="0.24994659260841701"/>
      </top>
      <bottom style="medium">
        <color theme="1" tint="0.2499465926084170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theme="2" tint="-0.499984740745262"/>
      </top>
      <bottom style="medium">
        <color theme="2" tint="-0.499984740745262"/>
      </bottom>
      <diagonal/>
    </border>
    <border>
      <left style="thin">
        <color indexed="64"/>
      </left>
      <right/>
      <top style="medium">
        <color indexed="64"/>
      </top>
      <bottom style="medium">
        <color indexed="64"/>
      </bottom>
      <diagonal/>
    </border>
    <border>
      <left style="thin">
        <color rgb="FF50C08B"/>
      </left>
      <right style="thin">
        <color rgb="FF50C08B"/>
      </right>
      <top style="medium">
        <color indexed="64"/>
      </top>
      <bottom style="medium">
        <color indexed="64"/>
      </bottom>
      <diagonal/>
    </border>
    <border>
      <left style="thin">
        <color rgb="FF50C08B"/>
      </left>
      <right style="thin">
        <color rgb="FF50C08B"/>
      </right>
      <top style="medium">
        <color theme="2" tint="-0.499984740745262"/>
      </top>
      <bottom style="medium">
        <color theme="2" tint="-0.499984740745262"/>
      </bottom>
      <diagonal/>
    </border>
    <border>
      <left style="thin">
        <color rgb="FF50C08B"/>
      </left>
      <right/>
      <top style="medium">
        <color indexed="64"/>
      </top>
      <bottom style="medium">
        <color indexed="64"/>
      </bottom>
      <diagonal/>
    </border>
    <border>
      <left/>
      <right style="thin">
        <color rgb="FF50C08B"/>
      </right>
      <top style="medium">
        <color indexed="64"/>
      </top>
      <bottom style="medium">
        <color indexed="64"/>
      </bottom>
      <diagonal/>
    </border>
    <border>
      <left style="thin">
        <color rgb="FF50C08B"/>
      </left>
      <right/>
      <top style="medium">
        <color theme="2" tint="-0.499984740745262"/>
      </top>
      <bottom style="medium">
        <color theme="2" tint="-0.499984740745262"/>
      </bottom>
      <diagonal/>
    </border>
    <border>
      <left/>
      <right style="thin">
        <color rgb="FF50C08B"/>
      </right>
      <top style="medium">
        <color theme="2" tint="-0.499984740745262"/>
      </top>
      <bottom style="medium">
        <color theme="2" tint="-0.499984740745262"/>
      </bottom>
      <diagonal/>
    </border>
    <border>
      <left/>
      <right/>
      <top style="medium">
        <color indexed="64"/>
      </top>
      <bottom style="thin">
        <color theme="0" tint="-0.24994659260841701"/>
      </bottom>
      <diagonal/>
    </border>
    <border>
      <left style="thin">
        <color rgb="FF50C08B"/>
      </left>
      <right style="thin">
        <color rgb="FF50C08B"/>
      </right>
      <top style="medium">
        <color indexed="64"/>
      </top>
      <bottom style="thin">
        <color theme="0" tint="-0.24994659260841701"/>
      </bottom>
      <diagonal/>
    </border>
    <border>
      <left style="thin">
        <color rgb="FF50C08B"/>
      </left>
      <right/>
      <top style="medium">
        <color indexed="64"/>
      </top>
      <bottom style="thin">
        <color theme="0" tint="-0.24994659260841701"/>
      </bottom>
      <diagonal/>
    </border>
    <border>
      <left/>
      <right style="thin">
        <color rgb="FF50C08B"/>
      </right>
      <top style="medium">
        <color indexed="64"/>
      </top>
      <bottom style="thin">
        <color theme="0" tint="-0.24994659260841701"/>
      </bottom>
      <diagonal/>
    </border>
    <border>
      <left/>
      <right/>
      <top style="thin">
        <color theme="0" tint="-0.24994659260841701"/>
      </top>
      <bottom style="medium">
        <color theme="2" tint="-0.499984740745262"/>
      </bottom>
      <diagonal/>
    </border>
    <border>
      <left style="thin">
        <color rgb="FF50C08B"/>
      </left>
      <right style="thin">
        <color rgb="FF50C08B"/>
      </right>
      <top style="thin">
        <color theme="0" tint="-0.24994659260841701"/>
      </top>
      <bottom style="medium">
        <color theme="2" tint="-0.499984740745262"/>
      </bottom>
      <diagonal/>
    </border>
    <border>
      <left style="thin">
        <color rgb="FF50C08B"/>
      </left>
      <right/>
      <top style="thin">
        <color theme="0" tint="-0.24994659260841701"/>
      </top>
      <bottom style="medium">
        <color theme="2" tint="-0.499984740745262"/>
      </bottom>
      <diagonal/>
    </border>
    <border>
      <left/>
      <right style="thin">
        <color rgb="FF50C08B"/>
      </right>
      <top style="thin">
        <color theme="0" tint="-0.24994659260841701"/>
      </top>
      <bottom style="medium">
        <color theme="2" tint="-0.499984740745262"/>
      </bottom>
      <diagonal/>
    </border>
    <border>
      <left/>
      <right/>
      <top style="medium">
        <color theme="2" tint="-0.499984740745262"/>
      </top>
      <bottom style="thin">
        <color theme="0" tint="-0.24994659260841701"/>
      </bottom>
      <diagonal/>
    </border>
    <border>
      <left style="thin">
        <color rgb="FF50C08B"/>
      </left>
      <right style="thin">
        <color rgb="FF50C08B"/>
      </right>
      <top style="medium">
        <color theme="2" tint="-0.499984740745262"/>
      </top>
      <bottom style="thin">
        <color theme="0" tint="-0.24994659260841701"/>
      </bottom>
      <diagonal/>
    </border>
    <border>
      <left style="thin">
        <color rgb="FF50C08B"/>
      </left>
      <right/>
      <top style="medium">
        <color theme="2" tint="-0.499984740745262"/>
      </top>
      <bottom style="thin">
        <color theme="0" tint="-0.24994659260841701"/>
      </bottom>
      <diagonal/>
    </border>
    <border>
      <left/>
      <right style="thin">
        <color rgb="FF50C08B"/>
      </right>
      <top style="medium">
        <color theme="2" tint="-0.499984740745262"/>
      </top>
      <bottom style="thin">
        <color theme="0" tint="-0.24994659260841701"/>
      </bottom>
      <diagonal/>
    </border>
    <border>
      <left/>
      <right/>
      <top style="thin">
        <color theme="0" tint="-0.24994659260841701"/>
      </top>
      <bottom style="medium">
        <color theme="1" tint="0.24994659260841701"/>
      </bottom>
      <diagonal/>
    </border>
    <border>
      <left style="thin">
        <color rgb="FF50C08B"/>
      </left>
      <right/>
      <top style="thin">
        <color theme="0" tint="-0.24994659260841701"/>
      </top>
      <bottom style="medium">
        <color theme="1" tint="0.24994659260841701"/>
      </bottom>
      <diagonal/>
    </border>
    <border>
      <left/>
      <right style="thin">
        <color rgb="FF50C08B"/>
      </right>
      <top style="thin">
        <color theme="0" tint="-0.24994659260841701"/>
      </top>
      <bottom style="medium">
        <color theme="1" tint="0.24994659260841701"/>
      </bottom>
      <diagonal/>
    </border>
    <border>
      <left/>
      <right/>
      <top style="medium">
        <color theme="1" tint="0.24994659260841701"/>
      </top>
      <bottom style="thin">
        <color theme="0" tint="-0.24994659260841701"/>
      </bottom>
      <diagonal/>
    </border>
    <border>
      <left style="thin">
        <color rgb="FF50C08B"/>
      </left>
      <right style="thin">
        <color rgb="FF50C08B"/>
      </right>
      <top style="medium">
        <color theme="1" tint="0.24994659260841701"/>
      </top>
      <bottom style="thin">
        <color theme="0" tint="-0.24994659260841701"/>
      </bottom>
      <diagonal/>
    </border>
    <border>
      <left style="thin">
        <color rgb="FF50C08B"/>
      </left>
      <right style="thin">
        <color rgb="FF50C08B"/>
      </right>
      <top style="thin">
        <color theme="0" tint="-0.24994659260841701"/>
      </top>
      <bottom/>
      <diagonal/>
    </border>
    <border>
      <left style="thin">
        <color rgb="FF50C08B"/>
      </left>
      <right/>
      <top style="medium">
        <color theme="1" tint="0.24994659260841701"/>
      </top>
      <bottom style="thin">
        <color theme="0" tint="-0.24994659260841701"/>
      </bottom>
      <diagonal/>
    </border>
    <border>
      <left/>
      <right style="thin">
        <color rgb="FF50C08B"/>
      </right>
      <top style="medium">
        <color theme="1" tint="0.24994659260841701"/>
      </top>
      <bottom style="thin">
        <color theme="0" tint="-0.24994659260841701"/>
      </bottom>
      <diagonal/>
    </border>
    <border>
      <left/>
      <right/>
      <top style="mediumDashed">
        <color rgb="FF50C08B"/>
      </top>
      <bottom/>
      <diagonal/>
    </border>
    <border>
      <left/>
      <right/>
      <top style="medium">
        <color indexed="64"/>
      </top>
      <bottom style="dotted">
        <color theme="0" tint="-0.24994659260841701"/>
      </bottom>
      <diagonal/>
    </border>
    <border>
      <left style="thin">
        <color rgb="FF50C08B"/>
      </left>
      <right style="thin">
        <color rgb="FF50C08B"/>
      </right>
      <top style="medium">
        <color indexed="64"/>
      </top>
      <bottom style="dotted">
        <color theme="0" tint="-0.24994659260841701"/>
      </bottom>
      <diagonal/>
    </border>
    <border>
      <left/>
      <right/>
      <top style="dotted">
        <color theme="0" tint="-0.24994659260841701"/>
      </top>
      <bottom style="thin">
        <color theme="0" tint="-0.24994659260841701"/>
      </bottom>
      <diagonal/>
    </border>
    <border>
      <left style="thin">
        <color rgb="FF50C08B"/>
      </left>
      <right style="thin">
        <color rgb="FF50C08B"/>
      </right>
      <top style="dotted">
        <color theme="0" tint="-0.24994659260841701"/>
      </top>
      <bottom style="thin">
        <color theme="0" tint="-0.24994659260841701"/>
      </bottom>
      <diagonal/>
    </border>
    <border>
      <left/>
      <right/>
      <top style="thin">
        <color theme="0" tint="-0.24994659260841701"/>
      </top>
      <bottom style="dotted">
        <color theme="0" tint="-0.24994659260841701"/>
      </bottom>
      <diagonal/>
    </border>
    <border>
      <left style="thin">
        <color rgb="FF50C08B"/>
      </left>
      <right style="thin">
        <color rgb="FF50C08B"/>
      </right>
      <top style="thin">
        <color theme="0" tint="-0.24994659260841701"/>
      </top>
      <bottom style="dotted">
        <color theme="0" tint="-0.24994659260841701"/>
      </bottom>
      <diagonal/>
    </border>
    <border>
      <left style="thin">
        <color rgb="FF50C08B"/>
      </left>
      <right/>
      <top style="medium">
        <color indexed="64"/>
      </top>
      <bottom style="dotted">
        <color theme="0" tint="-0.24994659260841701"/>
      </bottom>
      <diagonal/>
    </border>
    <border>
      <left style="thin">
        <color rgb="FF50C08B"/>
      </left>
      <right/>
      <top style="dotted">
        <color theme="0" tint="-0.24994659260841701"/>
      </top>
      <bottom style="thin">
        <color theme="0" tint="-0.24994659260841701"/>
      </bottom>
      <diagonal/>
    </border>
    <border>
      <left/>
      <right style="thin">
        <color theme="0" tint="-0.24994659260841701"/>
      </right>
      <top style="dotted">
        <color theme="0" tint="-0.24994659260841701"/>
      </top>
      <bottom style="thin">
        <color theme="0" tint="-0.24994659260841701"/>
      </bottom>
      <diagonal/>
    </border>
    <border>
      <left style="thin">
        <color rgb="FF50C08B"/>
      </left>
      <right/>
      <top style="thin">
        <color theme="0" tint="-0.24994659260841701"/>
      </top>
      <bottom style="dotted">
        <color theme="0" tint="-0.24994659260841701"/>
      </bottom>
      <diagonal/>
    </border>
    <border>
      <left/>
      <right style="thin">
        <color theme="0" tint="-0.24994659260841701"/>
      </right>
      <top style="thin">
        <color theme="0" tint="-0.24994659260841701"/>
      </top>
      <bottom style="dotted">
        <color theme="0" tint="-0.24994659260841701"/>
      </bottom>
      <diagonal/>
    </border>
    <border>
      <left style="thin">
        <color rgb="FF50C08B"/>
      </left>
      <right style="thin">
        <color rgb="FF50C08B"/>
      </right>
      <top style="medium">
        <color theme="1" tint="0.24994659260841701"/>
      </top>
      <bottom style="dotted">
        <color theme="0" tint="-0.24994659260841701"/>
      </bottom>
      <diagonal/>
    </border>
    <border>
      <left/>
      <right/>
      <top style="medium">
        <color theme="1" tint="0.24994659260841701"/>
      </top>
      <bottom style="dotted">
        <color theme="0" tint="-0.24994659260841701"/>
      </bottom>
      <diagonal/>
    </border>
    <border>
      <left/>
      <right/>
      <top style="mediumDashed">
        <color rgb="FF626694"/>
      </top>
      <bottom/>
      <diagonal/>
    </border>
    <border>
      <left/>
      <right/>
      <top style="mediumDashed">
        <color rgb="FFDB63F3"/>
      </top>
      <bottom/>
      <diagonal/>
    </border>
    <border>
      <left/>
      <right/>
      <top style="mediumDashed">
        <color rgb="FFFDEB03"/>
      </top>
      <bottom/>
      <diagonal/>
    </border>
    <border>
      <left/>
      <right/>
      <top style="mediumDashed">
        <color rgb="FF03BADF"/>
      </top>
      <bottom/>
      <diagonal/>
    </border>
    <border>
      <left/>
      <right/>
      <top style="mediumDashed">
        <color theme="2" tint="-0.499984740745262"/>
      </top>
      <bottom/>
      <diagonal/>
    </border>
    <border>
      <left style="thin">
        <color rgb="FF50C08B"/>
      </left>
      <right/>
      <top style="thin">
        <color theme="0" tint="-0.24994659260841701"/>
      </top>
      <bottom/>
      <diagonal/>
    </border>
    <border>
      <left/>
      <right style="thin">
        <color rgb="FF50C08B"/>
      </right>
      <top style="thin">
        <color theme="0" tint="-0.24994659260841701"/>
      </top>
      <bottom/>
      <diagonal/>
    </border>
    <border>
      <left/>
      <right/>
      <top/>
      <bottom style="mediumDashed">
        <color rgb="FF50C08B"/>
      </bottom>
      <diagonal/>
    </border>
    <border>
      <left style="thin">
        <color rgb="FF50C08B"/>
      </left>
      <right style="thin">
        <color rgb="FF50C08B"/>
      </right>
      <top/>
      <bottom style="medium">
        <color theme="2" tint="-0.499984740745262"/>
      </bottom>
      <diagonal/>
    </border>
    <border>
      <left style="thin">
        <color rgb="FF50C08B"/>
      </left>
      <right/>
      <top/>
      <bottom style="medium">
        <color theme="2" tint="-0.499984740745262"/>
      </bottom>
      <diagonal/>
    </border>
    <border>
      <left/>
      <right style="thin">
        <color rgb="FF50C08B"/>
      </right>
      <top/>
      <bottom style="medium">
        <color theme="2" tint="-0.499984740745262"/>
      </bottom>
      <diagonal/>
    </border>
    <border>
      <left style="thin">
        <color theme="2" tint="-0.499984740745262"/>
      </left>
      <right/>
      <top style="medium">
        <color theme="1" tint="0.24994659260841701"/>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auto="1"/>
      </bottom>
      <diagonal/>
    </border>
    <border>
      <left/>
      <right/>
      <top/>
      <bottom style="medium">
        <color rgb="FFFFFF00"/>
      </bottom>
      <diagonal/>
    </border>
    <border>
      <left style="thin">
        <color rgb="FF50C08B"/>
      </left>
      <right style="thin">
        <color rgb="FF50C08B"/>
      </right>
      <top style="dotted">
        <color theme="0" tint="-0.24994659260841701"/>
      </top>
      <bottom/>
      <diagonal/>
    </border>
    <border>
      <left style="thin">
        <color rgb="FF50C08B"/>
      </left>
      <right style="thin">
        <color rgb="FF50C08B"/>
      </right>
      <top/>
      <bottom style="thin">
        <color theme="0" tint="-0.24994659260841701"/>
      </bottom>
      <diagonal/>
    </border>
    <border>
      <left/>
      <right/>
      <top style="medium">
        <color rgb="FF50C08B"/>
      </top>
      <bottom/>
      <diagonal/>
    </border>
    <border>
      <left/>
      <right/>
      <top style="medium">
        <color rgb="FF626694"/>
      </top>
      <bottom/>
      <diagonal/>
    </border>
    <border>
      <left/>
      <right/>
      <top style="medium">
        <color rgb="FFDB63F3"/>
      </top>
      <bottom/>
      <diagonal/>
    </border>
    <border>
      <left/>
      <right/>
      <top style="medium">
        <color rgb="FF03BADF"/>
      </top>
      <bottom/>
      <diagonal/>
    </border>
    <border>
      <left/>
      <right/>
      <top style="medium">
        <color theme="2" tint="-0.499984740745262"/>
      </top>
      <bottom/>
      <diagonal/>
    </border>
  </borders>
  <cellStyleXfs count="4">
    <xf numFmtId="0" fontId="0" fillId="0" borderId="0"/>
    <xf numFmtId="0" fontId="11" fillId="0" borderId="0" applyNumberFormat="0" applyFill="0" applyBorder="0" applyAlignment="0" applyProtection="0"/>
    <xf numFmtId="44" fontId="16" fillId="0" borderId="0" applyFont="0" applyFill="0" applyBorder="0" applyAlignment="0" applyProtection="0"/>
    <xf numFmtId="165" fontId="16" fillId="0" borderId="0" applyFont="0" applyFill="0" applyBorder="0" applyAlignment="0" applyProtection="0"/>
  </cellStyleXfs>
  <cellXfs count="894">
    <xf numFmtId="0" fontId="0" fillId="0" borderId="0" xfId="0"/>
    <xf numFmtId="0" fontId="0" fillId="3" borderId="0" xfId="0" applyFill="1"/>
    <xf numFmtId="0" fontId="6" fillId="2"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6" fillId="4" borderId="0" xfId="0" applyFont="1" applyFill="1" applyAlignment="1">
      <alignment vertical="center"/>
    </xf>
    <xf numFmtId="0" fontId="8" fillId="2" borderId="0" xfId="0" applyFont="1" applyFill="1"/>
    <xf numFmtId="0" fontId="8" fillId="3" borderId="0" xfId="0" applyFont="1" applyFill="1"/>
    <xf numFmtId="0" fontId="8" fillId="0" borderId="0" xfId="0" applyFont="1"/>
    <xf numFmtId="0" fontId="9" fillId="0" borderId="0" xfId="0" applyFont="1" applyAlignment="1">
      <alignment horizontal="right"/>
    </xf>
    <xf numFmtId="0" fontId="6" fillId="4" borderId="0" xfId="0" applyFont="1" applyFill="1" applyAlignment="1">
      <alignment horizontal="left" vertical="center" indent="1"/>
    </xf>
    <xf numFmtId="0" fontId="6" fillId="5" borderId="0" xfId="0" applyFont="1" applyFill="1" applyAlignment="1">
      <alignment vertical="center"/>
    </xf>
    <xf numFmtId="0" fontId="8" fillId="5" borderId="0" xfId="0" applyFont="1" applyFill="1"/>
    <xf numFmtId="0" fontId="0" fillId="6" borderId="0" xfId="0" applyFill="1"/>
    <xf numFmtId="0" fontId="1" fillId="6" borderId="0" xfId="0" applyFont="1" applyFill="1" applyAlignment="1">
      <alignment horizontal="left" vertical="center"/>
    </xf>
    <xf numFmtId="0" fontId="8" fillId="6" borderId="0" xfId="0" applyFont="1" applyFill="1"/>
    <xf numFmtId="0" fontId="6" fillId="6" borderId="0" xfId="0" applyFont="1" applyFill="1" applyAlignment="1">
      <alignment vertical="center"/>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inden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Border="1" applyAlignment="1">
      <alignment horizontal="left" vertical="center" indent="1"/>
    </xf>
    <xf numFmtId="0" fontId="8" fillId="0" borderId="2" xfId="0" applyFont="1" applyBorder="1" applyAlignment="1">
      <alignment horizontal="left" vertical="center" indent="1"/>
    </xf>
    <xf numFmtId="0" fontId="8" fillId="0" borderId="5" xfId="0" applyFont="1" applyBorder="1" applyAlignment="1">
      <alignment horizontal="left" vertical="center" indent="1"/>
    </xf>
    <xf numFmtId="0" fontId="8" fillId="0" borderId="4" xfId="0" applyFont="1" applyBorder="1" applyAlignment="1">
      <alignment horizontal="left" vertical="center" indent="1"/>
    </xf>
    <xf numFmtId="0" fontId="8" fillId="0" borderId="7" xfId="0" applyFont="1" applyBorder="1" applyAlignment="1">
      <alignment horizontal="left" vertical="center" indent="1"/>
    </xf>
    <xf numFmtId="0" fontId="8" fillId="0" borderId="6" xfId="0" applyFont="1" applyBorder="1" applyAlignment="1">
      <alignment horizontal="left" vertical="center" inden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1" fillId="6" borderId="0" xfId="0" quotePrefix="1" applyFont="1" applyFill="1" applyAlignment="1">
      <alignment horizontal="left" vertical="center"/>
    </xf>
    <xf numFmtId="0" fontId="2" fillId="6" borderId="0" xfId="0" quotePrefix="1" applyFont="1" applyFill="1" applyAlignment="1">
      <alignment horizontal="left"/>
    </xf>
    <xf numFmtId="0" fontId="8" fillId="0" borderId="2" xfId="0" quotePrefix="1" applyFont="1" applyBorder="1" applyAlignment="1">
      <alignment horizontal="left" vertical="center" indent="1"/>
    </xf>
    <xf numFmtId="0" fontId="8" fillId="0" borderId="2" xfId="0" quotePrefix="1"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8" xfId="0" applyFont="1" applyFill="1" applyBorder="1" applyAlignment="1">
      <alignment horizontal="center" vertical="center"/>
    </xf>
    <xf numFmtId="0" fontId="8" fillId="0" borderId="8" xfId="0" applyFont="1" applyBorder="1" applyAlignment="1">
      <alignment horizontal="left" vertical="center" indent="1"/>
    </xf>
    <xf numFmtId="0" fontId="8" fillId="0" borderId="2" xfId="0" applyFont="1" applyBorder="1" applyAlignment="1">
      <alignment horizontal="left" vertical="center" indent="2"/>
    </xf>
    <xf numFmtId="0" fontId="8" fillId="0" borderId="5" xfId="0" applyFont="1" applyBorder="1" applyAlignment="1">
      <alignment horizontal="left" vertical="center" indent="2"/>
    </xf>
    <xf numFmtId="0" fontId="8" fillId="0" borderId="4" xfId="0" applyFont="1" applyBorder="1" applyAlignment="1">
      <alignment horizontal="left" vertical="center" indent="2"/>
    </xf>
    <xf numFmtId="0" fontId="8" fillId="0" borderId="8" xfId="0" applyFont="1" applyBorder="1" applyAlignment="1">
      <alignment horizontal="left" vertical="center" indent="2"/>
    </xf>
    <xf numFmtId="0" fontId="8" fillId="0" borderId="6" xfId="0" applyFont="1" applyBorder="1" applyAlignment="1">
      <alignment horizontal="left" vertical="center" indent="2"/>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2"/>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Fill="1" applyBorder="1" applyAlignment="1">
      <alignment horizontal="left" vertical="center"/>
    </xf>
    <xf numFmtId="0" fontId="4" fillId="0" borderId="0" xfId="0" applyFont="1"/>
    <xf numFmtId="0" fontId="8" fillId="0" borderId="7" xfId="0" quotePrefix="1" applyFont="1" applyBorder="1" applyAlignment="1">
      <alignment horizontal="left" vertical="center" wrapText="1" indent="2"/>
    </xf>
    <xf numFmtId="0" fontId="0" fillId="0" borderId="0" xfId="0" applyFont="1"/>
    <xf numFmtId="0" fontId="6" fillId="7" borderId="0" xfId="0" applyFont="1" applyFill="1" applyAlignment="1">
      <alignment vertical="center"/>
    </xf>
    <xf numFmtId="0" fontId="0" fillId="8" borderId="0" xfId="0" applyFill="1"/>
    <xf numFmtId="0" fontId="1" fillId="8" borderId="0" xfId="0" quotePrefix="1" applyFont="1" applyFill="1" applyAlignment="1">
      <alignment horizontal="left" vertical="center"/>
    </xf>
    <xf numFmtId="0" fontId="2" fillId="8" borderId="0" xfId="0" quotePrefix="1" applyFont="1" applyFill="1" applyAlignment="1">
      <alignment horizontal="left"/>
    </xf>
    <xf numFmtId="0" fontId="6" fillId="8" borderId="0" xfId="0" applyFont="1" applyFill="1" applyAlignment="1">
      <alignment vertical="center"/>
    </xf>
    <xf numFmtId="0" fontId="8" fillId="8" borderId="0" xfId="0" applyFont="1" applyFill="1"/>
    <xf numFmtId="0" fontId="13" fillId="7" borderId="0" xfId="0" applyFont="1" applyFill="1"/>
    <xf numFmtId="0" fontId="5" fillId="0" borderId="0" xfId="0" applyFont="1"/>
    <xf numFmtId="0" fontId="6" fillId="4"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Fill="1" applyBorder="1" applyAlignment="1">
      <alignment horizontal="center" vertical="center"/>
    </xf>
    <xf numFmtId="0" fontId="8" fillId="0" borderId="12" xfId="0" applyFont="1" applyBorder="1" applyAlignment="1">
      <alignment horizontal="center" vertical="center"/>
    </xf>
    <xf numFmtId="0" fontId="6" fillId="4" borderId="9" xfId="0" applyFont="1" applyFill="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12" xfId="0" applyFont="1" applyBorder="1" applyAlignment="1">
      <alignment horizontal="left" vertical="center" indent="1"/>
    </xf>
    <xf numFmtId="0" fontId="1" fillId="8" borderId="0" xfId="0" applyFont="1" applyFill="1" applyAlignment="1">
      <alignment horizontal="left" vertical="center"/>
    </xf>
    <xf numFmtId="0" fontId="8" fillId="0" borderId="11" xfId="0" applyFont="1" applyBorder="1" applyAlignment="1">
      <alignment horizontal="left" vertical="center" wrapText="1" indent="1"/>
    </xf>
    <xf numFmtId="0" fontId="8" fillId="0" borderId="4" xfId="0" quotePrefix="1" applyFont="1" applyBorder="1" applyAlignment="1">
      <alignment horizontal="left" vertical="center" indent="2"/>
    </xf>
    <xf numFmtId="0" fontId="8" fillId="0" borderId="6" xfId="0" quotePrefix="1" applyFont="1" applyBorder="1" applyAlignment="1">
      <alignment horizontal="left" vertical="center" indent="2"/>
    </xf>
    <xf numFmtId="0" fontId="8" fillId="0" borderId="4" xfId="0" quotePrefix="1" applyFont="1" applyBorder="1" applyAlignment="1">
      <alignment horizontal="left" vertical="center" indent="1"/>
    </xf>
    <xf numFmtId="0" fontId="13" fillId="7" borderId="0" xfId="0" applyFont="1" applyFill="1" applyAlignment="1">
      <alignment wrapText="1"/>
    </xf>
    <xf numFmtId="0" fontId="8" fillId="8" borderId="0" xfId="0" applyFont="1" applyFill="1" applyAlignment="1">
      <alignment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left" vertical="center" wrapText="1"/>
    </xf>
    <xf numFmtId="0" fontId="8" fillId="0" borderId="0" xfId="0" applyFont="1" applyAlignment="1">
      <alignment wrapText="1"/>
    </xf>
    <xf numFmtId="0" fontId="8" fillId="0" borderId="10" xfId="0" quotePrefix="1" applyFont="1" applyBorder="1" applyAlignment="1">
      <alignment horizontal="left" vertical="center" wrapText="1" inden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9"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left" vertical="center" indent="1"/>
    </xf>
    <xf numFmtId="0" fontId="8" fillId="0" borderId="9" xfId="0" applyFont="1" applyBorder="1" applyAlignment="1">
      <alignment horizontal="left" vertical="center" indent="1"/>
    </xf>
    <xf numFmtId="0" fontId="8" fillId="0" borderId="12" xfId="0" applyFont="1" applyBorder="1" applyAlignment="1">
      <alignment horizontal="left" vertical="center" wrapText="1" indent="1"/>
    </xf>
    <xf numFmtId="0" fontId="8" fillId="0" borderId="2" xfId="0" quotePrefix="1" applyFont="1" applyFill="1" applyBorder="1" applyAlignment="1">
      <alignment horizontal="left" vertical="center"/>
    </xf>
    <xf numFmtId="0" fontId="8" fillId="0" borderId="6" xfId="0" quotePrefix="1" applyFont="1" applyFill="1" applyBorder="1" applyAlignment="1">
      <alignment horizontal="left" vertical="center" wrapText="1"/>
    </xf>
    <xf numFmtId="0" fontId="8" fillId="0" borderId="6" xfId="0" quotePrefix="1" applyFont="1" applyFill="1" applyBorder="1" applyAlignment="1">
      <alignment horizontal="left" vertical="center"/>
    </xf>
    <xf numFmtId="0" fontId="8" fillId="0" borderId="8" xfId="0" applyFont="1" applyFill="1" applyBorder="1" applyAlignment="1">
      <alignment horizontal="left" vertical="center"/>
    </xf>
    <xf numFmtId="0" fontId="7" fillId="0" borderId="2" xfId="0" quotePrefix="1" applyFont="1" applyBorder="1" applyAlignment="1">
      <alignment horizontal="left" vertical="center" wrapText="1" indent="1"/>
    </xf>
    <xf numFmtId="0" fontId="8" fillId="0" borderId="10" xfId="0" quotePrefix="1" applyFont="1" applyBorder="1" applyAlignment="1">
      <alignment horizontal="left" vertical="center" indent="1"/>
    </xf>
    <xf numFmtId="0" fontId="8" fillId="0" borderId="6" xfId="0" applyFont="1" applyBorder="1" applyAlignment="1">
      <alignment horizontal="left" vertical="center" wrapText="1" indent="1"/>
    </xf>
    <xf numFmtId="0" fontId="6" fillId="9" borderId="0" xfId="0" applyFont="1" applyFill="1" applyAlignment="1">
      <alignment vertical="center"/>
    </xf>
    <xf numFmtId="0" fontId="13" fillId="9" borderId="0" xfId="0" applyFont="1" applyFill="1"/>
    <xf numFmtId="0" fontId="0" fillId="10" borderId="0" xfId="0" applyFill="1"/>
    <xf numFmtId="0" fontId="1" fillId="10" borderId="0" xfId="0" quotePrefix="1" applyFont="1" applyFill="1" applyAlignment="1">
      <alignment horizontal="left" vertical="center"/>
    </xf>
    <xf numFmtId="0" fontId="2" fillId="10" borderId="0" xfId="0" quotePrefix="1" applyFont="1" applyFill="1" applyAlignment="1">
      <alignment horizontal="left"/>
    </xf>
    <xf numFmtId="0" fontId="6" fillId="10" borderId="0" xfId="0" applyFont="1" applyFill="1" applyAlignment="1">
      <alignment vertical="center"/>
    </xf>
    <xf numFmtId="0" fontId="8" fillId="10" borderId="0" xfId="0" applyFont="1" applyFill="1"/>
    <xf numFmtId="0" fontId="7" fillId="0" borderId="4" xfId="0" quotePrefix="1" applyFont="1" applyBorder="1" applyAlignment="1">
      <alignment horizontal="left" vertical="center" wrapText="1" indent="1"/>
    </xf>
    <xf numFmtId="0" fontId="8" fillId="0" borderId="4" xfId="0" quotePrefix="1" applyFont="1" applyBorder="1" applyAlignment="1">
      <alignment horizontal="left" vertical="center" wrapText="1" indent="1"/>
    </xf>
    <xf numFmtId="0" fontId="8" fillId="0"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Fill="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15" xfId="0" applyFont="1" applyBorder="1" applyAlignment="1">
      <alignment horizontal="left" vertical="center" indent="1"/>
    </xf>
    <xf numFmtId="0" fontId="7" fillId="0" borderId="6" xfId="0" applyFont="1" applyBorder="1" applyAlignment="1">
      <alignment horizontal="left" vertical="center" indent="1"/>
    </xf>
    <xf numFmtId="0" fontId="8" fillId="0" borderId="13" xfId="0" quotePrefix="1" applyFont="1" applyBorder="1" applyAlignment="1">
      <alignment horizontal="left" vertical="center" wrapText="1" indent="1"/>
    </xf>
    <xf numFmtId="0" fontId="8" fillId="0" borderId="16" xfId="0" applyFont="1" applyFill="1" applyBorder="1" applyAlignment="1">
      <alignment horizontal="center" vertical="center"/>
    </xf>
    <xf numFmtId="0" fontId="8" fillId="0" borderId="16" xfId="0" applyFont="1" applyBorder="1" applyAlignment="1">
      <alignment horizontal="center" vertical="center"/>
    </xf>
    <xf numFmtId="0" fontId="7" fillId="0" borderId="8" xfId="0" quotePrefix="1" applyFont="1" applyBorder="1" applyAlignment="1">
      <alignment horizontal="left" vertical="center" wrapText="1" indent="1"/>
    </xf>
    <xf numFmtId="0" fontId="8" fillId="0" borderId="8" xfId="0" quotePrefix="1" applyFont="1" applyBorder="1" applyAlignment="1">
      <alignment horizontal="left" vertical="center" wrapText="1" indent="1"/>
    </xf>
    <xf numFmtId="0" fontId="8" fillId="0" borderId="4" xfId="0" quotePrefix="1" applyFont="1" applyFill="1" applyBorder="1" applyAlignment="1">
      <alignment horizontal="left" vertical="center"/>
    </xf>
    <xf numFmtId="0" fontId="8" fillId="0" borderId="14" xfId="0" quotePrefix="1" applyFont="1" applyBorder="1" applyAlignment="1">
      <alignment horizontal="left" vertical="center" wrapText="1" indent="1"/>
    </xf>
    <xf numFmtId="0" fontId="6" fillId="11" borderId="0" xfId="0" applyFont="1" applyFill="1" applyAlignment="1">
      <alignment vertical="center"/>
    </xf>
    <xf numFmtId="0" fontId="13" fillId="11" borderId="0" xfId="0" applyFont="1" applyFill="1"/>
    <xf numFmtId="0" fontId="0" fillId="12" borderId="0" xfId="0" applyFill="1"/>
    <xf numFmtId="0" fontId="1" fillId="12" borderId="0" xfId="0" quotePrefix="1" applyFont="1" applyFill="1" applyAlignment="1">
      <alignment horizontal="left" vertical="center"/>
    </xf>
    <xf numFmtId="0" fontId="2" fillId="12" borderId="0" xfId="0" quotePrefix="1" applyFont="1" applyFill="1" applyAlignment="1">
      <alignment horizontal="left"/>
    </xf>
    <xf numFmtId="0" fontId="6" fillId="12" borderId="0" xfId="0" applyFont="1" applyFill="1" applyAlignment="1">
      <alignment vertical="center"/>
    </xf>
    <xf numFmtId="0" fontId="8" fillId="12" borderId="0" xfId="0" applyFont="1" applyFill="1"/>
    <xf numFmtId="0" fontId="8" fillId="0" borderId="17"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Fill="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1" fillId="3" borderId="0" xfId="0" quotePrefix="1" applyFont="1" applyFill="1" applyAlignment="1">
      <alignment horizontal="left" vertical="center"/>
    </xf>
    <xf numFmtId="0" fontId="8" fillId="0" borderId="20"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left" vertical="center" indent="1"/>
    </xf>
    <xf numFmtId="0" fontId="8" fillId="0" borderId="21" xfId="0" applyFont="1" applyBorder="1" applyAlignment="1">
      <alignment horizontal="left" vertical="center" indent="1"/>
    </xf>
    <xf numFmtId="0" fontId="8" fillId="0" borderId="22" xfId="0" applyFont="1" applyFill="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horizontal="left" vertical="center" indent="1"/>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2"/>
    </xf>
    <xf numFmtId="164" fontId="8" fillId="0" borderId="10" xfId="0" applyNumberFormat="1" applyFont="1" applyBorder="1" applyAlignment="1">
      <alignment horizontal="right" vertical="center" indent="2"/>
    </xf>
    <xf numFmtId="164" fontId="8" fillId="0" borderId="11" xfId="0" applyNumberFormat="1" applyFont="1" applyBorder="1" applyAlignment="1">
      <alignment horizontal="right" vertical="center" indent="2"/>
    </xf>
    <xf numFmtId="164" fontId="8" fillId="0" borderId="12" xfId="0" applyNumberFormat="1" applyFont="1" applyBorder="1" applyAlignment="1">
      <alignment horizontal="right" vertical="center" indent="2"/>
    </xf>
    <xf numFmtId="164" fontId="8" fillId="0" borderId="10" xfId="0" applyNumberFormat="1" applyFont="1" applyBorder="1" applyAlignment="1">
      <alignment horizontal="right" vertical="center" indent="1"/>
    </xf>
    <xf numFmtId="164" fontId="8" fillId="0" borderId="11" xfId="0" applyNumberFormat="1" applyFont="1" applyBorder="1" applyAlignment="1">
      <alignment horizontal="right" vertical="center" indent="1"/>
    </xf>
    <xf numFmtId="164" fontId="8" fillId="0" borderId="11" xfId="0" applyNumberFormat="1" applyFont="1" applyBorder="1" applyAlignment="1">
      <alignment horizontal="right" vertical="center" wrapText="1" indent="1"/>
    </xf>
    <xf numFmtId="164" fontId="8" fillId="0" borderId="12" xfId="0" applyNumberFormat="1" applyFont="1" applyBorder="1" applyAlignment="1">
      <alignment horizontal="right" vertical="center" indent="1"/>
    </xf>
    <xf numFmtId="164" fontId="8" fillId="0" borderId="23" xfId="0" applyNumberFormat="1" applyFont="1" applyBorder="1" applyAlignment="1">
      <alignment horizontal="right" vertical="center" indent="1"/>
    </xf>
    <xf numFmtId="0" fontId="15" fillId="0" borderId="0" xfId="0" applyFont="1" applyAlignment="1">
      <alignment horizontal="right"/>
    </xf>
    <xf numFmtId="164" fontId="8" fillId="0" borderId="13" xfId="0" applyNumberFormat="1" applyFont="1" applyBorder="1" applyAlignment="1">
      <alignment horizontal="right" vertical="center" indent="1"/>
    </xf>
    <xf numFmtId="164" fontId="8" fillId="0" borderId="14" xfId="0" applyNumberFormat="1" applyFont="1" applyBorder="1" applyAlignment="1">
      <alignment horizontal="right" vertical="center" indent="1"/>
    </xf>
    <xf numFmtId="164" fontId="8" fillId="0" borderId="15" xfId="0" applyNumberFormat="1" applyFont="1" applyBorder="1" applyAlignment="1">
      <alignment horizontal="right" vertical="center" indent="1"/>
    </xf>
    <xf numFmtId="164" fontId="8" fillId="0" borderId="26" xfId="0" applyNumberFormat="1" applyFont="1" applyBorder="1" applyAlignment="1">
      <alignment horizontal="right" vertical="center" indent="1"/>
    </xf>
    <xf numFmtId="164" fontId="8" fillId="0" borderId="13" xfId="0" applyNumberFormat="1" applyFont="1" applyBorder="1" applyAlignment="1">
      <alignment horizontal="right" vertical="center" indent="2"/>
    </xf>
    <xf numFmtId="164" fontId="8" fillId="0" borderId="14" xfId="0" applyNumberFormat="1" applyFont="1" applyBorder="1" applyAlignment="1">
      <alignment horizontal="right" vertical="center" indent="2"/>
    </xf>
    <xf numFmtId="164" fontId="8" fillId="0" borderId="13" xfId="0" applyNumberFormat="1" applyFont="1" applyBorder="1" applyAlignment="1">
      <alignment horizontal="right" vertical="center" indent="3"/>
    </xf>
    <xf numFmtId="164" fontId="8" fillId="0" borderId="14" xfId="0" applyNumberFormat="1" applyFont="1" applyBorder="1" applyAlignment="1">
      <alignment horizontal="right" vertical="center" indent="3"/>
    </xf>
    <xf numFmtId="164" fontId="8" fillId="0" borderId="16" xfId="0" applyNumberFormat="1" applyFont="1" applyBorder="1" applyAlignment="1">
      <alignment horizontal="right" vertical="center" indent="2"/>
    </xf>
    <xf numFmtId="0" fontId="7" fillId="0" borderId="4" xfId="0" applyFont="1" applyBorder="1" applyAlignment="1">
      <alignment horizontal="left" vertical="center" indent="1"/>
    </xf>
    <xf numFmtId="0" fontId="7" fillId="0" borderId="24" xfId="0" applyFont="1" applyBorder="1" applyAlignment="1">
      <alignment horizontal="left" vertical="center" indent="1"/>
    </xf>
    <xf numFmtId="164" fontId="8" fillId="0" borderId="17" xfId="0" applyNumberFormat="1" applyFont="1" applyBorder="1" applyAlignment="1">
      <alignment horizontal="right" vertical="center" indent="1"/>
    </xf>
    <xf numFmtId="164" fontId="8" fillId="0" borderId="18" xfId="0" applyNumberFormat="1" applyFont="1" applyBorder="1" applyAlignment="1">
      <alignment horizontal="right" vertical="center" indent="1"/>
    </xf>
    <xf numFmtId="164" fontId="8" fillId="0" borderId="19" xfId="0" applyNumberFormat="1" applyFont="1" applyBorder="1" applyAlignment="1">
      <alignment horizontal="right" vertical="center" indent="1"/>
    </xf>
    <xf numFmtId="164" fontId="8" fillId="0" borderId="28" xfId="0" applyNumberFormat="1" applyFont="1" applyBorder="1" applyAlignment="1">
      <alignment horizontal="right" vertical="center" indent="1"/>
    </xf>
    <xf numFmtId="164" fontId="8" fillId="0" borderId="31" xfId="0" applyNumberFormat="1" applyFont="1" applyBorder="1" applyAlignment="1">
      <alignment horizontal="right" vertical="center" indent="1"/>
    </xf>
    <xf numFmtId="164" fontId="8" fillId="0" borderId="32" xfId="0" applyNumberFormat="1" applyFont="1" applyBorder="1" applyAlignment="1">
      <alignment horizontal="right" vertical="center" indent="1"/>
    </xf>
    <xf numFmtId="164" fontId="8" fillId="0" borderId="2" xfId="0" applyNumberFormat="1" applyFont="1" applyBorder="1" applyAlignment="1">
      <alignment horizontal="right" vertical="center" indent="2"/>
    </xf>
    <xf numFmtId="164" fontId="8" fillId="0" borderId="6" xfId="0" applyNumberFormat="1" applyFont="1" applyBorder="1" applyAlignment="1">
      <alignment horizontal="right" vertical="center" indent="2"/>
    </xf>
    <xf numFmtId="0" fontId="8" fillId="0" borderId="12" xfId="0" quotePrefix="1" applyFont="1" applyBorder="1" applyAlignment="1">
      <alignment horizontal="left" vertical="center" indent="1"/>
    </xf>
    <xf numFmtId="0" fontId="8" fillId="0" borderId="11" xfId="0" quotePrefix="1" applyFont="1" applyBorder="1" applyAlignment="1">
      <alignment horizontal="left" vertical="center" indent="1"/>
    </xf>
    <xf numFmtId="164" fontId="8" fillId="0" borderId="3" xfId="0" applyNumberFormat="1" applyFont="1" applyBorder="1" applyAlignment="1">
      <alignment horizontal="right" vertical="center" indent="1"/>
    </xf>
    <xf numFmtId="164" fontId="8" fillId="0" borderId="5" xfId="0" applyNumberFormat="1" applyFont="1" applyBorder="1" applyAlignment="1">
      <alignment horizontal="right" vertical="center" indent="1"/>
    </xf>
    <xf numFmtId="164" fontId="8" fillId="0" borderId="7" xfId="0" applyNumberFormat="1" applyFont="1" applyBorder="1" applyAlignment="1">
      <alignment horizontal="right" vertical="center" indent="1"/>
    </xf>
    <xf numFmtId="164" fontId="8" fillId="0" borderId="33" xfId="0" applyNumberFormat="1" applyFont="1" applyBorder="1" applyAlignment="1">
      <alignment horizontal="right" vertical="center" indent="1"/>
    </xf>
    <xf numFmtId="164" fontId="8" fillId="0" borderId="2" xfId="0" applyNumberFormat="1" applyFont="1" applyBorder="1" applyAlignment="1">
      <alignment horizontal="right" vertical="center" indent="1"/>
    </xf>
    <xf numFmtId="164" fontId="8" fillId="0" borderId="6" xfId="0" applyNumberFormat="1" applyFont="1" applyBorder="1" applyAlignment="1">
      <alignment horizontal="right" vertical="center" indent="1"/>
    </xf>
    <xf numFmtId="164" fontId="8" fillId="0" borderId="3" xfId="0" applyNumberFormat="1" applyFont="1" applyBorder="1" applyAlignment="1">
      <alignment horizontal="right" vertical="center" indent="2"/>
    </xf>
    <xf numFmtId="164" fontId="8" fillId="0" borderId="5" xfId="0" applyNumberFormat="1" applyFont="1" applyBorder="1" applyAlignment="1">
      <alignment horizontal="right" vertical="center" indent="2"/>
    </xf>
    <xf numFmtId="164" fontId="8" fillId="0" borderId="7" xfId="0" applyNumberFormat="1" applyFont="1" applyBorder="1" applyAlignment="1">
      <alignment horizontal="right" vertical="center" indent="2"/>
    </xf>
    <xf numFmtId="0" fontId="6" fillId="4" borderId="34" xfId="0" applyFont="1" applyFill="1" applyBorder="1" applyAlignment="1">
      <alignment horizontal="left" vertical="center" indent="1"/>
    </xf>
    <xf numFmtId="0" fontId="6" fillId="4" borderId="34" xfId="0" applyFont="1" applyFill="1" applyBorder="1" applyAlignment="1">
      <alignment vertical="center"/>
    </xf>
    <xf numFmtId="0" fontId="6" fillId="4" borderId="25" xfId="0" applyFont="1" applyFill="1" applyBorder="1" applyAlignment="1">
      <alignment horizontal="center" vertical="center"/>
    </xf>
    <xf numFmtId="0" fontId="6" fillId="4" borderId="25" xfId="0" applyFont="1" applyFill="1" applyBorder="1" applyAlignment="1">
      <alignment horizontal="left" vertical="center" indent="1"/>
    </xf>
    <xf numFmtId="0" fontId="6" fillId="4" borderId="35" xfId="0" applyFont="1" applyFill="1" applyBorder="1" applyAlignment="1">
      <alignment horizontal="left" vertical="center" indent="1"/>
    </xf>
    <xf numFmtId="0" fontId="6" fillId="4" borderId="35" xfId="0" applyFont="1" applyFill="1" applyBorder="1" applyAlignment="1">
      <alignment vertical="center"/>
    </xf>
    <xf numFmtId="0" fontId="6" fillId="4" borderId="36" xfId="0" applyFont="1" applyFill="1" applyBorder="1" applyAlignment="1">
      <alignment horizontal="center" vertical="center"/>
    </xf>
    <xf numFmtId="0" fontId="6" fillId="4" borderId="36" xfId="0" applyFont="1" applyFill="1" applyBorder="1" applyAlignment="1">
      <alignment horizontal="left" vertical="center" indent="1"/>
    </xf>
    <xf numFmtId="0" fontId="6" fillId="4" borderId="37" xfId="0" applyFont="1" applyFill="1" applyBorder="1" applyAlignment="1">
      <alignment horizontal="center" vertical="center"/>
    </xf>
    <xf numFmtId="0" fontId="6" fillId="4" borderId="37" xfId="0" applyFont="1" applyFill="1" applyBorder="1" applyAlignment="1">
      <alignment horizontal="left" vertical="center" indent="1"/>
    </xf>
    <xf numFmtId="0" fontId="8" fillId="0" borderId="34"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7" xfId="0" applyFont="1" applyBorder="1" applyAlignment="1">
      <alignment horizontal="center" vertical="center"/>
    </xf>
    <xf numFmtId="0" fontId="7" fillId="0" borderId="34" xfId="0" quotePrefix="1" applyFont="1" applyBorder="1" applyAlignment="1">
      <alignment horizontal="left" vertical="center" indent="1"/>
    </xf>
    <xf numFmtId="0" fontId="8" fillId="0" borderId="34" xfId="0" quotePrefix="1" applyFont="1" applyBorder="1" applyAlignment="1">
      <alignment horizontal="left" vertical="center" wrapText="1" indent="1"/>
    </xf>
    <xf numFmtId="0" fontId="8" fillId="0" borderId="27" xfId="0" applyFont="1" applyBorder="1" applyAlignment="1">
      <alignment horizontal="left" vertical="center" indent="1"/>
    </xf>
    <xf numFmtId="0" fontId="8" fillId="0" borderId="34" xfId="0" applyFont="1" applyBorder="1" applyAlignment="1">
      <alignment horizontal="left" vertical="center" indent="1"/>
    </xf>
    <xf numFmtId="164" fontId="8" fillId="0" borderId="27" xfId="0" applyNumberFormat="1" applyFont="1" applyBorder="1" applyAlignment="1">
      <alignment horizontal="right" vertical="center" indent="1"/>
    </xf>
    <xf numFmtId="0" fontId="6" fillId="4" borderId="29" xfId="0" applyFont="1" applyFill="1" applyBorder="1" applyAlignment="1">
      <alignment horizontal="center" vertical="center"/>
    </xf>
    <xf numFmtId="0" fontId="6" fillId="4" borderId="29" xfId="0" applyFont="1" applyFill="1" applyBorder="1" applyAlignment="1">
      <alignment horizontal="left" vertical="center" indent="1"/>
    </xf>
    <xf numFmtId="0" fontId="6" fillId="4" borderId="38" xfId="0" applyFont="1" applyFill="1" applyBorder="1" applyAlignment="1">
      <alignment horizontal="center" vertical="center"/>
    </xf>
    <xf numFmtId="0" fontId="6" fillId="4" borderId="38" xfId="0" applyFont="1" applyFill="1" applyBorder="1" applyAlignment="1">
      <alignment horizontal="left" vertical="center" indent="1"/>
    </xf>
    <xf numFmtId="0" fontId="6" fillId="4" borderId="39" xfId="0" applyFont="1" applyFill="1" applyBorder="1" applyAlignment="1">
      <alignment horizontal="left" vertical="center" indent="1"/>
    </xf>
    <xf numFmtId="0" fontId="6" fillId="4" borderId="40" xfId="0" applyFont="1" applyFill="1" applyBorder="1" applyAlignment="1">
      <alignment horizontal="center" vertical="center"/>
    </xf>
    <xf numFmtId="0" fontId="6" fillId="4" borderId="40" xfId="0" applyFont="1" applyFill="1" applyBorder="1" applyAlignment="1">
      <alignment horizontal="left" vertical="center" indent="1"/>
    </xf>
    <xf numFmtId="0" fontId="6" fillId="4" borderId="40" xfId="0" quotePrefix="1" applyFont="1" applyFill="1" applyBorder="1" applyAlignment="1">
      <alignment horizontal="left" vertical="center" indent="1"/>
    </xf>
    <xf numFmtId="0" fontId="17" fillId="0" borderId="0" xfId="0" applyFont="1"/>
    <xf numFmtId="164" fontId="17" fillId="0" borderId="0" xfId="0" applyNumberFormat="1" applyFont="1"/>
    <xf numFmtId="0" fontId="8" fillId="0" borderId="20" xfId="0" quotePrefix="1" applyFont="1" applyBorder="1" applyAlignment="1">
      <alignment horizontal="left" vertical="center" indent="1"/>
    </xf>
    <xf numFmtId="0" fontId="6" fillId="4" borderId="41" xfId="0" applyFont="1" applyFill="1" applyBorder="1" applyAlignment="1">
      <alignment horizontal="center" vertical="center"/>
    </xf>
    <xf numFmtId="0" fontId="6" fillId="4" borderId="41" xfId="0" applyFont="1" applyFill="1" applyBorder="1" applyAlignment="1">
      <alignment horizontal="left" vertical="center" indent="1"/>
    </xf>
    <xf numFmtId="164" fontId="8" fillId="0" borderId="20" xfId="0" applyNumberFormat="1" applyFont="1" applyBorder="1" applyAlignment="1">
      <alignment horizontal="right" vertical="center" indent="1"/>
    </xf>
    <xf numFmtId="164" fontId="8" fillId="0" borderId="21" xfId="0" applyNumberFormat="1" applyFont="1" applyBorder="1" applyAlignment="1">
      <alignment horizontal="right" vertical="center" indent="1"/>
    </xf>
    <xf numFmtId="164" fontId="8" fillId="0" borderId="22" xfId="0" applyNumberFormat="1" applyFont="1" applyBorder="1" applyAlignment="1">
      <alignment horizontal="right" vertical="center" indent="1"/>
    </xf>
    <xf numFmtId="164" fontId="8" fillId="0" borderId="42" xfId="0" applyNumberFormat="1" applyFont="1" applyBorder="1" applyAlignment="1">
      <alignment horizontal="right" vertical="center" indent="1"/>
    </xf>
    <xf numFmtId="0" fontId="19" fillId="3" borderId="0" xfId="0" quotePrefix="1" applyFont="1" applyFill="1" applyAlignment="1">
      <alignment horizontal="left"/>
    </xf>
    <xf numFmtId="0" fontId="8" fillId="0" borderId="43" xfId="0" applyFont="1" applyBorder="1" applyAlignment="1">
      <alignment horizontal="center" vertical="center"/>
    </xf>
    <xf numFmtId="0" fontId="8" fillId="0" borderId="43" xfId="0" quotePrefix="1" applyFont="1" applyBorder="1" applyAlignment="1">
      <alignment horizontal="left" vertical="center" wrapText="1" indent="1"/>
    </xf>
    <xf numFmtId="164" fontId="8" fillId="0" borderId="43" xfId="0" applyNumberFormat="1" applyFont="1" applyBorder="1" applyAlignment="1">
      <alignment horizontal="right" vertical="center" indent="1"/>
    </xf>
    <xf numFmtId="0" fontId="8" fillId="0" borderId="4" xfId="0" quotePrefix="1" applyFont="1" applyFill="1" applyBorder="1" applyAlignment="1">
      <alignment horizontal="left" vertical="center" wrapText="1"/>
    </xf>
    <xf numFmtId="164" fontId="6" fillId="4" borderId="30" xfId="0" applyNumberFormat="1" applyFont="1" applyFill="1" applyBorder="1" applyAlignment="1">
      <alignment horizontal="left" vertical="center" indent="1"/>
    </xf>
    <xf numFmtId="164" fontId="8" fillId="0" borderId="44" xfId="0" applyNumberFormat="1" applyFont="1" applyBorder="1" applyAlignment="1">
      <alignment horizontal="right" vertical="center" wrapText="1" indent="1"/>
    </xf>
    <xf numFmtId="164" fontId="8" fillId="0" borderId="44" xfId="0" applyNumberFormat="1" applyFont="1" applyBorder="1" applyAlignment="1">
      <alignment horizontal="right" vertical="center" indent="1"/>
    </xf>
    <xf numFmtId="164" fontId="8" fillId="0" borderId="9" xfId="0" applyNumberFormat="1" applyFont="1" applyBorder="1" applyAlignment="1">
      <alignment horizontal="right" vertical="center" indent="1"/>
    </xf>
    <xf numFmtId="0" fontId="8" fillId="0" borderId="24" xfId="0" applyFont="1" applyFill="1" applyBorder="1" applyAlignment="1">
      <alignment horizontal="center" vertical="center"/>
    </xf>
    <xf numFmtId="0" fontId="8" fillId="0" borderId="24" xfId="0" applyFont="1" applyFill="1" applyBorder="1" applyAlignment="1">
      <alignment horizontal="left" vertical="center"/>
    </xf>
    <xf numFmtId="0" fontId="8" fillId="0" borderId="23" xfId="0" applyFont="1" applyFill="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left" vertical="center" wrapText="1" indent="1"/>
    </xf>
    <xf numFmtId="0" fontId="8" fillId="0" borderId="24" xfId="0" applyFont="1" applyBorder="1" applyAlignment="1">
      <alignment horizontal="left" vertical="center" indent="1"/>
    </xf>
    <xf numFmtId="0" fontId="8" fillId="0" borderId="23" xfId="0" applyFont="1" applyBorder="1" applyAlignment="1">
      <alignment horizontal="left" vertical="center" indent="1"/>
    </xf>
    <xf numFmtId="0" fontId="8" fillId="0" borderId="45" xfId="0" applyFont="1" applyBorder="1" applyAlignment="1">
      <alignment horizontal="left" vertical="center" indent="1"/>
    </xf>
    <xf numFmtId="0" fontId="6" fillId="13" borderId="0" xfId="0" applyFont="1" applyFill="1" applyAlignment="1">
      <alignment vertical="center"/>
    </xf>
    <xf numFmtId="0" fontId="8" fillId="13" borderId="0" xfId="0" applyFont="1" applyFill="1"/>
    <xf numFmtId="0" fontId="0" fillId="14" borderId="0" xfId="0" applyFill="1"/>
    <xf numFmtId="0" fontId="1" fillId="14" borderId="0" xfId="0" quotePrefix="1" applyFont="1" applyFill="1" applyAlignment="1">
      <alignment horizontal="left" vertical="center"/>
    </xf>
    <xf numFmtId="0" fontId="2" fillId="14" borderId="0" xfId="0" quotePrefix="1" applyFont="1" applyFill="1" applyAlignment="1">
      <alignment horizontal="left"/>
    </xf>
    <xf numFmtId="0" fontId="6" fillId="14" borderId="0" xfId="0" applyFont="1" applyFill="1" applyAlignment="1">
      <alignment vertical="center"/>
    </xf>
    <xf numFmtId="0" fontId="8" fillId="14" borderId="0" xfId="0" applyFont="1" applyFill="1"/>
    <xf numFmtId="0" fontId="6" fillId="4"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7" xfId="0" applyFont="1" applyBorder="1" applyAlignment="1">
      <alignment horizontal="center" vertical="center"/>
    </xf>
    <xf numFmtId="0" fontId="8" fillId="0" borderId="48" xfId="0" applyFont="1" applyFill="1" applyBorder="1" applyAlignment="1">
      <alignment horizontal="center" vertical="center"/>
    </xf>
    <xf numFmtId="0" fontId="8" fillId="0" borderId="48" xfId="0" applyFont="1" applyBorder="1" applyAlignment="1">
      <alignment horizontal="center" vertical="center"/>
    </xf>
    <xf numFmtId="0" fontId="6" fillId="4" borderId="46" xfId="0" applyFont="1" applyFill="1" applyBorder="1" applyAlignment="1">
      <alignment horizontal="left" vertical="center" indent="1"/>
    </xf>
    <xf numFmtId="0" fontId="8" fillId="0" borderId="47" xfId="0" applyFont="1" applyBorder="1" applyAlignment="1">
      <alignment horizontal="left" vertical="center" indent="1"/>
    </xf>
    <xf numFmtId="0" fontId="8" fillId="0" borderId="48" xfId="0" applyFont="1" applyBorder="1" applyAlignment="1">
      <alignment horizontal="left" vertical="center" indent="1"/>
    </xf>
    <xf numFmtId="0" fontId="6" fillId="4" borderId="49" xfId="0" applyFont="1" applyFill="1" applyBorder="1" applyAlignment="1">
      <alignment horizontal="left" vertical="center" indent="1"/>
    </xf>
    <xf numFmtId="0" fontId="6" fillId="4" borderId="50" xfId="0" applyFont="1" applyFill="1" applyBorder="1" applyAlignment="1">
      <alignment vertical="center"/>
    </xf>
    <xf numFmtId="0" fontId="8" fillId="0" borderId="51" xfId="0" applyFont="1" applyBorder="1" applyAlignment="1">
      <alignment horizontal="left" vertical="center" indent="1"/>
    </xf>
    <xf numFmtId="0" fontId="8" fillId="0" borderId="52" xfId="0" applyFont="1" applyBorder="1" applyAlignment="1">
      <alignment horizontal="left" vertical="center" indent="1"/>
    </xf>
    <xf numFmtId="0" fontId="8" fillId="0" borderId="53" xfId="0" applyFont="1" applyBorder="1" applyAlignment="1">
      <alignment horizontal="left" vertical="center" indent="1"/>
    </xf>
    <xf numFmtId="0" fontId="8" fillId="0" borderId="54" xfId="0" applyFont="1" applyBorder="1" applyAlignment="1">
      <alignment horizontal="left" vertical="center" indent="1"/>
    </xf>
    <xf numFmtId="0" fontId="6" fillId="4" borderId="0" xfId="0" applyFont="1" applyFill="1" applyBorder="1" applyAlignment="1">
      <alignment horizontal="left" vertical="center" indent="1"/>
    </xf>
    <xf numFmtId="164" fontId="8" fillId="0" borderId="47" xfId="0" applyNumberFormat="1" applyFont="1" applyBorder="1" applyAlignment="1">
      <alignment horizontal="right" vertical="center" indent="1"/>
    </xf>
    <xf numFmtId="164" fontId="8" fillId="0" borderId="48" xfId="0" applyNumberFormat="1" applyFont="1" applyBorder="1" applyAlignment="1">
      <alignment horizontal="right" vertical="center" indent="1"/>
    </xf>
    <xf numFmtId="0" fontId="8" fillId="0" borderId="55" xfId="0" applyFont="1" applyBorder="1" applyAlignment="1">
      <alignment horizontal="center" vertical="center"/>
    </xf>
    <xf numFmtId="0" fontId="8" fillId="0" borderId="47" xfId="0" applyFont="1" applyBorder="1" applyAlignment="1">
      <alignment horizontal="left" vertical="center" wrapText="1" indent="2"/>
    </xf>
    <xf numFmtId="164" fontId="8" fillId="0" borderId="47" xfId="0" applyNumberFormat="1" applyFont="1" applyBorder="1" applyAlignment="1">
      <alignment horizontal="right" vertical="center" indent="2"/>
    </xf>
    <xf numFmtId="164" fontId="8" fillId="0" borderId="55" xfId="0" applyNumberFormat="1" applyFont="1" applyBorder="1" applyAlignment="1">
      <alignment horizontal="right" vertical="center" indent="2"/>
    </xf>
    <xf numFmtId="164" fontId="8" fillId="0" borderId="56" xfId="0" applyNumberFormat="1" applyFont="1" applyBorder="1" applyAlignment="1">
      <alignment horizontal="right" vertical="center" indent="1"/>
    </xf>
    <xf numFmtId="0" fontId="3" fillId="13" borderId="0" xfId="0" applyFont="1" applyFill="1" applyAlignment="1">
      <alignment horizontal="right" textRotation="90"/>
    </xf>
    <xf numFmtId="0" fontId="6" fillId="4" borderId="46" xfId="0" quotePrefix="1" applyFont="1" applyFill="1" applyBorder="1" applyAlignment="1">
      <alignment horizontal="left" vertical="center" indent="1"/>
    </xf>
    <xf numFmtId="0" fontId="8" fillId="0" borderId="48" xfId="0" quotePrefix="1" applyFont="1" applyBorder="1" applyAlignment="1">
      <alignment horizontal="left" vertical="center" indent="1"/>
    </xf>
    <xf numFmtId="0" fontId="8" fillId="0" borderId="14" xfId="0" quotePrefix="1" applyFont="1" applyBorder="1" applyAlignment="1">
      <alignment horizontal="left" vertical="center" indent="1"/>
    </xf>
    <xf numFmtId="0" fontId="0" fillId="0" borderId="0" xfId="0" applyFill="1"/>
    <xf numFmtId="0" fontId="4" fillId="0" borderId="0" xfId="0" applyFont="1" applyFill="1"/>
    <xf numFmtId="0" fontId="0" fillId="0" borderId="0" xfId="0" applyFont="1" applyFill="1"/>
    <xf numFmtId="0" fontId="11" fillId="0" borderId="0" xfId="1" applyFill="1"/>
    <xf numFmtId="0" fontId="11" fillId="0" borderId="0" xfId="1" quotePrefix="1" applyFill="1" applyAlignment="1">
      <alignment horizontal="left"/>
    </xf>
    <xf numFmtId="0" fontId="8" fillId="0" borderId="13" xfId="0" quotePrefix="1" applyFont="1" applyBorder="1" applyAlignment="1">
      <alignment horizontal="left" vertical="center" indent="1"/>
    </xf>
    <xf numFmtId="0" fontId="21" fillId="0" borderId="4" xfId="0" quotePrefix="1" applyFont="1" applyFill="1" applyBorder="1" applyAlignment="1">
      <alignment horizontal="left" vertical="center" wrapText="1" indent="1"/>
    </xf>
    <xf numFmtId="0" fontId="21" fillId="0" borderId="16" xfId="0" quotePrefix="1" applyFont="1" applyFill="1" applyBorder="1" applyAlignment="1">
      <alignment horizontal="left" vertical="center" indent="1"/>
    </xf>
    <xf numFmtId="0" fontId="21" fillId="0" borderId="18" xfId="0" applyFont="1" applyFill="1" applyBorder="1" applyAlignment="1">
      <alignment horizontal="left" vertical="center" indent="1"/>
    </xf>
    <xf numFmtId="164" fontId="8" fillId="0" borderId="12" xfId="0" applyNumberFormat="1" applyFont="1" applyFill="1" applyBorder="1" applyAlignment="1">
      <alignment horizontal="right" vertical="center" indent="1"/>
    </xf>
    <xf numFmtId="0" fontId="22" fillId="3" borderId="0" xfId="0" quotePrefix="1" applyFont="1" applyFill="1" applyAlignment="1">
      <alignment horizontal="left"/>
    </xf>
    <xf numFmtId="0" fontId="8" fillId="0" borderId="5" xfId="0" quotePrefix="1" applyFont="1" applyBorder="1" applyAlignment="1">
      <alignment horizontal="left" vertical="center" indent="1"/>
    </xf>
    <xf numFmtId="0" fontId="0" fillId="15" borderId="0" xfId="0" applyFill="1"/>
    <xf numFmtId="0" fontId="1" fillId="15" borderId="0" xfId="0" applyFont="1" applyFill="1" applyAlignment="1">
      <alignment vertical="center"/>
    </xf>
    <xf numFmtId="0" fontId="4" fillId="15" borderId="0" xfId="0" applyFont="1" applyFill="1"/>
    <xf numFmtId="0" fontId="11" fillId="15" borderId="0" xfId="1" applyFill="1"/>
    <xf numFmtId="0" fontId="4" fillId="15" borderId="0" xfId="0" quotePrefix="1" applyFont="1" applyFill="1" applyAlignment="1">
      <alignment horizontal="left"/>
    </xf>
    <xf numFmtId="0" fontId="0" fillId="15" borderId="0" xfId="0" applyFont="1" applyFill="1"/>
    <xf numFmtId="0" fontId="1" fillId="0" borderId="0" xfId="0" applyFont="1" applyFill="1" applyAlignment="1">
      <alignment vertical="center"/>
    </xf>
    <xf numFmtId="0" fontId="4" fillId="0" borderId="0" xfId="0" quotePrefix="1" applyFont="1" applyFill="1" applyAlignment="1">
      <alignment horizontal="left"/>
    </xf>
    <xf numFmtId="0" fontId="0" fillId="4" borderId="0" xfId="0" applyFill="1"/>
    <xf numFmtId="0" fontId="0" fillId="13" borderId="57" xfId="0" applyFill="1" applyBorder="1"/>
    <xf numFmtId="0" fontId="0" fillId="9" borderId="58" xfId="0" applyFill="1" applyBorder="1"/>
    <xf numFmtId="0" fontId="23" fillId="11" borderId="59" xfId="0" applyFont="1" applyFill="1" applyBorder="1"/>
    <xf numFmtId="0" fontId="4" fillId="7" borderId="60" xfId="0" applyFont="1" applyFill="1" applyBorder="1"/>
    <xf numFmtId="0" fontId="4" fillId="0" borderId="60" xfId="0" applyFont="1" applyFill="1" applyBorder="1"/>
    <xf numFmtId="0" fontId="11" fillId="5" borderId="61" xfId="1" applyFill="1" applyBorder="1"/>
    <xf numFmtId="0" fontId="4" fillId="0" borderId="61" xfId="0" applyFont="1" applyFill="1" applyBorder="1"/>
    <xf numFmtId="0" fontId="0" fillId="2" borderId="62" xfId="0" applyFill="1" applyBorder="1"/>
    <xf numFmtId="0" fontId="4" fillId="0" borderId="62" xfId="0" applyFont="1" applyFill="1" applyBorder="1"/>
    <xf numFmtId="0" fontId="4" fillId="4" borderId="35" xfId="0" applyFont="1" applyFill="1" applyBorder="1"/>
    <xf numFmtId="0" fontId="4" fillId="0" borderId="0" xfId="0" applyFont="1" applyFill="1" applyBorder="1"/>
    <xf numFmtId="0" fontId="4" fillId="0" borderId="0" xfId="0" quotePrefix="1" applyFont="1" applyFill="1" applyBorder="1" applyAlignment="1">
      <alignment horizontal="left"/>
    </xf>
    <xf numFmtId="0" fontId="3" fillId="15" borderId="0" xfId="0" applyFont="1" applyFill="1" applyAlignment="1">
      <alignment horizontal="center" vertical="top" textRotation="90"/>
    </xf>
    <xf numFmtId="0" fontId="4" fillId="15" borderId="35" xfId="0" applyFont="1" applyFill="1" applyBorder="1"/>
    <xf numFmtId="0" fontId="4" fillId="15" borderId="57" xfId="0" applyFont="1" applyFill="1" applyBorder="1"/>
    <xf numFmtId="0" fontId="4" fillId="15" borderId="58" xfId="0" quotePrefix="1" applyFont="1" applyFill="1" applyBorder="1" applyAlignment="1">
      <alignment horizontal="left"/>
    </xf>
    <xf numFmtId="0" fontId="4" fillId="15" borderId="59" xfId="0" quotePrefix="1" applyFont="1" applyFill="1" applyBorder="1" applyAlignment="1">
      <alignment horizontal="left"/>
    </xf>
    <xf numFmtId="0" fontId="9" fillId="0" borderId="0" xfId="0" quotePrefix="1" applyFont="1" applyAlignment="1">
      <alignment horizontal="right"/>
    </xf>
    <xf numFmtId="0" fontId="8" fillId="0" borderId="34" xfId="0" quotePrefix="1" applyFont="1" applyFill="1" applyBorder="1" applyAlignment="1">
      <alignment horizontal="left" vertical="center"/>
    </xf>
    <xf numFmtId="0" fontId="8" fillId="0" borderId="63" xfId="0" applyFont="1" applyFill="1" applyBorder="1" applyAlignment="1">
      <alignment horizontal="center" vertical="center"/>
    </xf>
    <xf numFmtId="0" fontId="8" fillId="0" borderId="63" xfId="0" applyFont="1" applyBorder="1" applyAlignment="1">
      <alignment horizontal="center" vertical="center"/>
    </xf>
    <xf numFmtId="0" fontId="8" fillId="0" borderId="63" xfId="0" quotePrefix="1" applyFont="1" applyBorder="1" applyAlignment="1">
      <alignment horizontal="left" vertical="center" wrapText="1" indent="2"/>
    </xf>
    <xf numFmtId="0" fontId="8" fillId="0" borderId="34" xfId="0" applyFont="1" applyBorder="1" applyAlignment="1">
      <alignment horizontal="left" vertical="center" indent="2"/>
    </xf>
    <xf numFmtId="164" fontId="8" fillId="0" borderId="63" xfId="0" applyNumberFormat="1" applyFont="1" applyBorder="1" applyAlignment="1">
      <alignment horizontal="right" vertical="center" indent="2"/>
    </xf>
    <xf numFmtId="164" fontId="8" fillId="0" borderId="64" xfId="0" applyNumberFormat="1" applyFont="1" applyBorder="1" applyAlignment="1">
      <alignment horizontal="right" vertical="center" indent="1"/>
    </xf>
    <xf numFmtId="0" fontId="8" fillId="0" borderId="55" xfId="0" quotePrefix="1" applyFont="1" applyBorder="1" applyAlignment="1">
      <alignment horizontal="left" vertical="center" wrapText="1" indent="2"/>
    </xf>
    <xf numFmtId="164" fontId="8" fillId="0" borderId="55" xfId="0" applyNumberFormat="1" applyFont="1" applyBorder="1" applyAlignment="1">
      <alignment horizontal="right" vertical="center" indent="1"/>
    </xf>
    <xf numFmtId="0" fontId="12" fillId="0" borderId="0" xfId="1" applyFont="1" applyAlignment="1" applyProtection="1">
      <alignment horizontal="right" vertical="top"/>
      <protection locked="0"/>
    </xf>
    <xf numFmtId="0" fontId="0" fillId="13" borderId="0" xfId="0" applyFill="1" applyProtection="1">
      <protection locked="0"/>
    </xf>
    <xf numFmtId="0" fontId="8" fillId="0" borderId="8" xfId="0" quotePrefix="1" applyFont="1" applyFill="1" applyBorder="1" applyAlignment="1">
      <alignment horizontal="left" vertical="center"/>
    </xf>
    <xf numFmtId="0" fontId="8" fillId="0" borderId="65" xfId="0" applyFont="1" applyFill="1" applyBorder="1" applyAlignment="1">
      <alignment horizontal="center" vertical="center"/>
    </xf>
    <xf numFmtId="0" fontId="8" fillId="0" borderId="65" xfId="0" applyFont="1" applyBorder="1" applyAlignment="1">
      <alignment horizontal="center" vertical="center"/>
    </xf>
    <xf numFmtId="0" fontId="8" fillId="0" borderId="65" xfId="0" quotePrefix="1" applyFont="1" applyBorder="1" applyAlignment="1">
      <alignment horizontal="left" vertical="center" wrapText="1" indent="2"/>
    </xf>
    <xf numFmtId="164" fontId="8" fillId="0" borderId="65" xfId="0" applyNumberFormat="1" applyFont="1" applyBorder="1" applyAlignment="1">
      <alignment horizontal="right" vertical="center" indent="2"/>
    </xf>
    <xf numFmtId="164" fontId="8" fillId="0" borderId="65" xfId="0" applyNumberFormat="1" applyFont="1" applyBorder="1" applyAlignment="1">
      <alignment horizontal="right" vertical="center" indent="1"/>
    </xf>
    <xf numFmtId="0" fontId="8" fillId="0" borderId="56" xfId="0" applyFont="1" applyFill="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lignment horizontal="left" vertical="center" indent="2"/>
    </xf>
    <xf numFmtId="0" fontId="8" fillId="0" borderId="24" xfId="0" applyFont="1" applyBorder="1" applyAlignment="1">
      <alignment horizontal="left" vertical="center" indent="2"/>
    </xf>
    <xf numFmtId="164" fontId="8" fillId="0" borderId="56" xfId="0" applyNumberFormat="1" applyFont="1" applyBorder="1" applyAlignment="1">
      <alignment horizontal="right" vertical="center" indent="2"/>
    </xf>
    <xf numFmtId="0" fontId="9" fillId="0" borderId="0" xfId="0" applyFont="1" applyFill="1" applyAlignment="1">
      <alignment horizontal="right"/>
    </xf>
    <xf numFmtId="0" fontId="5" fillId="9" borderId="0" xfId="0" applyFont="1" applyFill="1" applyProtection="1">
      <protection locked="0"/>
    </xf>
    <xf numFmtId="0" fontId="5" fillId="11" borderId="0" xfId="0" applyFont="1" applyFill="1" applyProtection="1">
      <protection locked="0"/>
    </xf>
    <xf numFmtId="0" fontId="5" fillId="7" borderId="0" xfId="0" applyFont="1" applyFill="1" applyProtection="1">
      <protection locked="0"/>
    </xf>
    <xf numFmtId="0" fontId="0" fillId="2" borderId="0" xfId="0" applyFill="1" applyProtection="1">
      <protection locked="0"/>
    </xf>
    <xf numFmtId="0" fontId="4" fillId="0" borderId="35" xfId="0" applyFont="1" applyFill="1" applyBorder="1"/>
    <xf numFmtId="0" fontId="4" fillId="0" borderId="57" xfId="0" applyFont="1" applyFill="1" applyBorder="1"/>
    <xf numFmtId="0" fontId="4" fillId="0" borderId="58" xfId="0" quotePrefix="1" applyFont="1" applyFill="1" applyBorder="1" applyAlignment="1">
      <alignment horizontal="left"/>
    </xf>
    <xf numFmtId="0" fontId="4" fillId="0" borderId="59" xfId="0" quotePrefix="1" applyFont="1" applyFill="1" applyBorder="1" applyAlignment="1">
      <alignment horizontal="left"/>
    </xf>
    <xf numFmtId="0" fontId="0" fillId="5" borderId="0" xfId="0" applyFill="1" applyProtection="1">
      <protection locked="0"/>
    </xf>
    <xf numFmtId="0" fontId="3" fillId="4" borderId="0" xfId="0" applyFont="1" applyFill="1" applyAlignment="1">
      <alignment textRotation="90"/>
    </xf>
    <xf numFmtId="0" fontId="24" fillId="0" borderId="0" xfId="0" applyFont="1" applyAlignment="1">
      <alignment horizontal="right"/>
    </xf>
    <xf numFmtId="0" fontId="8" fillId="4" borderId="0" xfId="0" applyFont="1" applyFill="1"/>
    <xf numFmtId="0" fontId="1" fillId="15" borderId="0" xfId="0" quotePrefix="1" applyFont="1" applyFill="1" applyAlignment="1">
      <alignment horizontal="left" vertical="center"/>
    </xf>
    <xf numFmtId="0" fontId="19" fillId="15" borderId="0" xfId="0" quotePrefix="1" applyFont="1" applyFill="1" applyAlignment="1">
      <alignment horizontal="left"/>
    </xf>
    <xf numFmtId="0" fontId="8" fillId="15" borderId="0" xfId="0" applyFont="1" applyFill="1"/>
    <xf numFmtId="0" fontId="0" fillId="4" borderId="0" xfId="0" applyFill="1" applyProtection="1">
      <protection locked="0"/>
    </xf>
    <xf numFmtId="0" fontId="25" fillId="15" borderId="0" xfId="0" quotePrefix="1" applyFont="1" applyFill="1" applyAlignment="1">
      <alignment horizontal="left" wrapText="1"/>
    </xf>
    <xf numFmtId="0" fontId="25" fillId="0" borderId="0" xfId="0" quotePrefix="1" applyFont="1" applyFill="1" applyAlignment="1">
      <alignment horizontal="left" wrapText="1"/>
    </xf>
    <xf numFmtId="0" fontId="11" fillId="0" borderId="0" xfId="1"/>
    <xf numFmtId="0" fontId="8" fillId="0" borderId="2" xfId="0" quotePrefix="1" applyFont="1" applyFill="1" applyBorder="1" applyAlignment="1">
      <alignment horizontal="left" vertical="center" wrapText="1"/>
    </xf>
    <xf numFmtId="0" fontId="8" fillId="0" borderId="28" xfId="0" applyFont="1" applyFill="1" applyBorder="1" applyAlignment="1">
      <alignment horizontal="center" vertical="center"/>
    </xf>
    <xf numFmtId="0" fontId="8" fillId="0" borderId="28" xfId="0" applyFont="1" applyBorder="1" applyAlignment="1">
      <alignment horizontal="center" vertical="center"/>
    </xf>
    <xf numFmtId="0" fontId="7" fillId="0" borderId="24" xfId="0" quotePrefix="1" applyFont="1" applyBorder="1" applyAlignment="1">
      <alignment horizontal="left" vertical="center" wrapText="1" indent="1"/>
    </xf>
    <xf numFmtId="0" fontId="8" fillId="0" borderId="24" xfId="0" quotePrefix="1" applyFont="1" applyBorder="1" applyAlignment="1">
      <alignment horizontal="left" vertical="center" wrapText="1" indent="1"/>
    </xf>
    <xf numFmtId="0" fontId="8" fillId="0" borderId="28" xfId="0" applyFont="1" applyBorder="1" applyAlignment="1">
      <alignment horizontal="left" vertical="center" indent="1"/>
    </xf>
    <xf numFmtId="0" fontId="6" fillId="4" borderId="0" xfId="0" applyFont="1" applyFill="1" applyBorder="1" applyAlignment="1">
      <alignment vertical="center"/>
    </xf>
    <xf numFmtId="0" fontId="6" fillId="4" borderId="66" xfId="0" applyFont="1" applyFill="1" applyBorder="1" applyAlignment="1">
      <alignment horizontal="center" vertical="center"/>
    </xf>
    <xf numFmtId="0" fontId="6" fillId="4" borderId="66" xfId="0" applyFont="1" applyFill="1" applyBorder="1" applyAlignment="1">
      <alignment horizontal="left" vertical="center" indent="1"/>
    </xf>
    <xf numFmtId="0" fontId="8" fillId="0" borderId="0" xfId="0" applyFont="1" applyBorder="1" applyAlignment="1">
      <alignment horizontal="center" vertical="center"/>
    </xf>
    <xf numFmtId="0" fontId="7" fillId="0" borderId="0" xfId="0" applyFont="1" applyBorder="1" applyAlignment="1">
      <alignment horizontal="left" vertical="center" indent="1"/>
    </xf>
    <xf numFmtId="0" fontId="8" fillId="0" borderId="0" xfId="0" applyFont="1" applyBorder="1" applyAlignment="1">
      <alignment horizontal="left" vertical="center" wrapText="1" indent="1"/>
    </xf>
    <xf numFmtId="164" fontId="8" fillId="0" borderId="0" xfId="0" applyNumberFormat="1" applyFont="1" applyBorder="1" applyAlignment="1">
      <alignment horizontal="right" vertical="center" indent="1"/>
    </xf>
    <xf numFmtId="0" fontId="8" fillId="12" borderId="0" xfId="0" applyFont="1" applyFill="1" applyBorder="1" applyAlignment="1">
      <alignment horizontal="left" vertical="center"/>
    </xf>
    <xf numFmtId="0" fontId="8" fillId="12" borderId="0" xfId="0" applyFont="1" applyFill="1" applyBorder="1" applyAlignment="1">
      <alignment horizontal="center" vertical="center"/>
    </xf>
    <xf numFmtId="0" fontId="8" fillId="0" borderId="24" xfId="0" quotePrefix="1" applyFont="1" applyFill="1" applyBorder="1" applyAlignment="1">
      <alignment horizontal="left" vertical="center"/>
    </xf>
    <xf numFmtId="0" fontId="8" fillId="0" borderId="26" xfId="0" applyFont="1" applyFill="1" applyBorder="1" applyAlignment="1">
      <alignment horizontal="center" vertical="center"/>
    </xf>
    <xf numFmtId="0" fontId="8" fillId="0" borderId="26" xfId="0" applyFont="1" applyBorder="1" applyAlignment="1">
      <alignment horizontal="center" vertical="center"/>
    </xf>
    <xf numFmtId="0" fontId="8" fillId="0" borderId="26" xfId="0" quotePrefix="1" applyFont="1" applyBorder="1" applyAlignment="1">
      <alignment horizontal="left" vertical="center" wrapText="1" indent="1"/>
    </xf>
    <xf numFmtId="164" fontId="8" fillId="0" borderId="26" xfId="0" applyNumberFormat="1" applyFont="1" applyBorder="1" applyAlignment="1">
      <alignment horizontal="right" vertical="center" indent="3"/>
    </xf>
    <xf numFmtId="0" fontId="8" fillId="0" borderId="4" xfId="0" applyFont="1" applyFill="1" applyBorder="1" applyAlignment="1">
      <alignment horizontal="left" vertical="center" indent="1"/>
    </xf>
    <xf numFmtId="0" fontId="8" fillId="0" borderId="14" xfId="0" quotePrefix="1" applyFont="1" applyFill="1" applyBorder="1" applyAlignment="1">
      <alignment horizontal="left" vertical="center" indent="1"/>
    </xf>
    <xf numFmtId="0" fontId="8" fillId="0" borderId="26" xfId="0" applyFont="1" applyBorder="1" applyAlignment="1">
      <alignment horizontal="left" vertical="center" indent="1"/>
    </xf>
    <xf numFmtId="164" fontId="8" fillId="0" borderId="26" xfId="0" applyNumberFormat="1" applyFont="1" applyBorder="1" applyAlignment="1">
      <alignment horizontal="right" vertical="center" indent="2"/>
    </xf>
    <xf numFmtId="0" fontId="6" fillId="4" borderId="68" xfId="0" applyFont="1" applyFill="1" applyBorder="1" applyAlignment="1">
      <alignment horizontal="left" vertical="center" indent="1"/>
    </xf>
    <xf numFmtId="0" fontId="6" fillId="4" borderId="67" xfId="0" applyFont="1" applyFill="1" applyBorder="1" applyAlignment="1">
      <alignment vertical="center"/>
    </xf>
    <xf numFmtId="0" fontId="6" fillId="4" borderId="69" xfId="0" applyFont="1" applyFill="1" applyBorder="1" applyAlignment="1">
      <alignment horizontal="center" vertical="center"/>
    </xf>
    <xf numFmtId="0" fontId="6" fillId="4" borderId="67" xfId="0" applyFont="1" applyFill="1" applyBorder="1" applyAlignment="1">
      <alignment horizontal="left" vertical="center" indent="1"/>
    </xf>
    <xf numFmtId="0" fontId="6" fillId="4" borderId="69" xfId="0" applyFont="1" applyFill="1" applyBorder="1" applyAlignment="1">
      <alignment horizontal="left" vertical="center" indent="1"/>
    </xf>
    <xf numFmtId="0" fontId="7" fillId="0" borderId="0" xfId="0" quotePrefix="1" applyFont="1" applyBorder="1" applyAlignment="1">
      <alignment horizontal="left" vertical="center" wrapText="1" indent="1"/>
    </xf>
    <xf numFmtId="0" fontId="8" fillId="0" borderId="0" xfId="0" quotePrefix="1" applyFont="1" applyBorder="1" applyAlignment="1">
      <alignment horizontal="left" vertical="center" wrapText="1" indent="1"/>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8" borderId="0" xfId="0" applyFont="1" applyFill="1" applyBorder="1" applyAlignment="1">
      <alignment horizontal="left" vertical="center"/>
    </xf>
    <xf numFmtId="0" fontId="8" fillId="8" borderId="0" xfId="0" applyFont="1" applyFill="1" applyBorder="1" applyAlignment="1">
      <alignment horizontal="center" vertical="center"/>
    </xf>
    <xf numFmtId="0" fontId="8" fillId="0" borderId="0" xfId="0" quotePrefix="1" applyFont="1" applyBorder="1" applyAlignment="1">
      <alignment horizontal="left" vertical="center" indent="1"/>
    </xf>
    <xf numFmtId="0" fontId="8" fillId="0" borderId="0" xfId="0" applyFont="1" applyBorder="1" applyAlignment="1">
      <alignment horizontal="left" vertical="center" indent="2"/>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164" fontId="8" fillId="0" borderId="0" xfId="0" applyNumberFormat="1" applyFont="1" applyBorder="1" applyAlignment="1">
      <alignment horizontal="right" vertical="center" wrapText="1" indent="1"/>
    </xf>
    <xf numFmtId="0" fontId="8" fillId="8" borderId="0" xfId="0" quotePrefix="1" applyFont="1" applyFill="1" applyBorder="1" applyAlignment="1">
      <alignment horizontal="left"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horizontal="center" vertical="center" wrapText="1"/>
    </xf>
    <xf numFmtId="0" fontId="8" fillId="0" borderId="70" xfId="0" applyFont="1" applyFill="1" applyBorder="1" applyAlignment="1">
      <alignment horizontal="left" vertical="center"/>
    </xf>
    <xf numFmtId="0" fontId="8" fillId="0" borderId="71" xfId="0" applyFont="1" applyFill="1" applyBorder="1" applyAlignment="1">
      <alignment horizontal="center" vertical="center"/>
    </xf>
    <xf numFmtId="0" fontId="8" fillId="0" borderId="71" xfId="0" applyFont="1" applyBorder="1" applyAlignment="1">
      <alignment horizontal="center" vertical="center"/>
    </xf>
    <xf numFmtId="0" fontId="8" fillId="0" borderId="70" xfId="0" applyFont="1" applyBorder="1" applyAlignment="1">
      <alignment horizontal="left" vertical="center" indent="1"/>
    </xf>
    <xf numFmtId="0" fontId="8" fillId="0" borderId="71" xfId="0" quotePrefix="1" applyFont="1" applyBorder="1" applyAlignment="1">
      <alignment horizontal="left" vertical="center" wrapText="1" indent="1"/>
    </xf>
    <xf numFmtId="164" fontId="8" fillId="0" borderId="71" xfId="0" applyNumberFormat="1" applyFont="1" applyBorder="1" applyAlignment="1">
      <alignment horizontal="right" vertical="center" indent="1"/>
    </xf>
    <xf numFmtId="0" fontId="8" fillId="0" borderId="33" xfId="0" applyFont="1" applyFill="1" applyBorder="1" applyAlignment="1">
      <alignment horizontal="center" vertical="center"/>
    </xf>
    <xf numFmtId="0" fontId="8" fillId="0" borderId="33" xfId="0" applyFont="1" applyBorder="1" applyAlignment="1">
      <alignment horizontal="center" vertical="center"/>
    </xf>
    <xf numFmtId="0" fontId="8" fillId="0" borderId="33" xfId="0" applyFont="1" applyBorder="1" applyAlignment="1">
      <alignment horizontal="left" vertical="center" indent="1"/>
    </xf>
    <xf numFmtId="0" fontId="8" fillId="0" borderId="24" xfId="0" quotePrefix="1" applyFont="1" applyBorder="1" applyAlignment="1">
      <alignment horizontal="left" vertical="center" indent="1"/>
    </xf>
    <xf numFmtId="0" fontId="8" fillId="0" borderId="71" xfId="0" applyFont="1" applyBorder="1" applyAlignment="1">
      <alignment horizontal="left" vertical="center" indent="1"/>
    </xf>
    <xf numFmtId="0" fontId="8" fillId="0" borderId="33" xfId="0" quotePrefix="1" applyFont="1" applyBorder="1" applyAlignment="1">
      <alignment horizontal="left" vertical="center" indent="1"/>
    </xf>
    <xf numFmtId="0" fontId="8" fillId="0" borderId="70" xfId="0" quotePrefix="1" applyFont="1" applyFill="1" applyBorder="1" applyAlignment="1">
      <alignment horizontal="left" vertical="center"/>
    </xf>
    <xf numFmtId="0" fontId="8" fillId="0" borderId="70" xfId="0" applyFont="1" applyBorder="1" applyAlignment="1">
      <alignment horizontal="left" vertical="center" wrapText="1" indent="1"/>
    </xf>
    <xf numFmtId="0" fontId="8" fillId="0" borderId="71" xfId="0" applyFont="1" applyBorder="1" applyAlignment="1">
      <alignment horizontal="left" vertical="center" wrapText="1" indent="2"/>
    </xf>
    <xf numFmtId="0" fontId="8" fillId="0" borderId="70" xfId="0" applyFont="1" applyBorder="1" applyAlignment="1">
      <alignment horizontal="left" vertical="center" indent="2"/>
    </xf>
    <xf numFmtId="164" fontId="8" fillId="0" borderId="71" xfId="0" quotePrefix="1" applyNumberFormat="1" applyFont="1" applyBorder="1" applyAlignment="1">
      <alignment horizontal="left" vertical="center" indent="3"/>
    </xf>
    <xf numFmtId="0" fontId="8" fillId="0" borderId="5" xfId="0" quotePrefix="1" applyFont="1" applyBorder="1" applyAlignment="1">
      <alignment horizontal="left" vertical="center" indent="2"/>
    </xf>
    <xf numFmtId="0" fontId="8" fillId="0" borderId="33" xfId="0" applyFont="1" applyBorder="1" applyAlignment="1">
      <alignment horizontal="left" vertical="center" indent="2"/>
    </xf>
    <xf numFmtId="164" fontId="8" fillId="0" borderId="33" xfId="0" applyNumberFormat="1" applyFont="1" applyBorder="1" applyAlignment="1">
      <alignment horizontal="right" vertical="center" indent="2"/>
    </xf>
    <xf numFmtId="0" fontId="8" fillId="0" borderId="22" xfId="0" quotePrefix="1" applyFont="1" applyBorder="1" applyAlignment="1">
      <alignment horizontal="left" vertical="center" wrapText="1" indent="1"/>
    </xf>
    <xf numFmtId="0" fontId="8" fillId="0" borderId="42" xfId="0" applyFont="1" applyFill="1" applyBorder="1" applyAlignment="1">
      <alignment horizontal="center" vertical="center"/>
    </xf>
    <xf numFmtId="0" fontId="8" fillId="0" borderId="42" xfId="0" applyFont="1" applyBorder="1" applyAlignment="1">
      <alignment horizontal="center" vertical="center"/>
    </xf>
    <xf numFmtId="0" fontId="8" fillId="0" borderId="42" xfId="0" applyFont="1" applyBorder="1" applyAlignment="1">
      <alignment horizontal="left" vertical="center" indent="1"/>
    </xf>
    <xf numFmtId="0" fontId="8" fillId="0" borderId="0" xfId="0" applyFont="1" applyBorder="1"/>
    <xf numFmtId="0" fontId="8" fillId="0" borderId="0" xfId="0" applyFont="1" applyFill="1"/>
    <xf numFmtId="0" fontId="18" fillId="0" borderId="0" xfId="0" quotePrefix="1" applyFont="1" applyFill="1" applyBorder="1" applyAlignment="1">
      <alignment horizontal="left" vertical="center" wrapText="1" indent="1"/>
    </xf>
    <xf numFmtId="0" fontId="8" fillId="0" borderId="72" xfId="0" applyFont="1" applyFill="1" applyBorder="1" applyAlignment="1">
      <alignment horizontal="center" vertical="center"/>
    </xf>
    <xf numFmtId="0" fontId="8" fillId="0" borderId="72" xfId="0" applyFont="1" applyBorder="1" applyAlignment="1">
      <alignment horizontal="center" vertical="center"/>
    </xf>
    <xf numFmtId="0" fontId="8" fillId="0" borderId="72" xfId="0" applyFont="1" applyBorder="1" applyAlignment="1">
      <alignment horizontal="left" vertical="center" indent="1"/>
    </xf>
    <xf numFmtId="164" fontId="8" fillId="0" borderId="72" xfId="0" applyNumberFormat="1" applyFont="1" applyBorder="1" applyAlignment="1">
      <alignment horizontal="right" vertical="center" indent="2"/>
    </xf>
    <xf numFmtId="164" fontId="8" fillId="0" borderId="72" xfId="0" applyNumberFormat="1" applyFont="1" applyBorder="1" applyAlignment="1">
      <alignment horizontal="right" vertical="center" indent="1"/>
    </xf>
    <xf numFmtId="0" fontId="7" fillId="0" borderId="70" xfId="0" applyFont="1" applyBorder="1" applyAlignment="1">
      <alignment horizontal="left" vertical="center" indent="1"/>
    </xf>
    <xf numFmtId="164" fontId="8" fillId="0" borderId="23" xfId="0" applyNumberFormat="1" applyFont="1" applyBorder="1" applyAlignment="1">
      <alignment horizontal="right" vertical="center" indent="2"/>
    </xf>
    <xf numFmtId="0" fontId="8" fillId="0" borderId="11" xfId="0" quotePrefix="1" applyFont="1" applyBorder="1" applyAlignment="1">
      <alignment horizontal="left" vertical="center" wrapText="1" indent="1"/>
    </xf>
    <xf numFmtId="0" fontId="8" fillId="0" borderId="2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3" fillId="13" borderId="0" xfId="0" applyFont="1" applyFill="1" applyAlignment="1">
      <alignment horizontal="right" vertical="top" textRotation="90"/>
    </xf>
    <xf numFmtId="0" fontId="3" fillId="13" borderId="0" xfId="0" applyFont="1" applyFill="1" applyAlignment="1">
      <alignment horizontal="right" textRotation="90"/>
    </xf>
    <xf numFmtId="0" fontId="8" fillId="0" borderId="73" xfId="0" applyFont="1" applyFill="1" applyBorder="1" applyAlignment="1">
      <alignment horizontal="center" vertical="center"/>
    </xf>
    <xf numFmtId="0" fontId="8" fillId="0" borderId="73" xfId="0" quotePrefix="1" applyFont="1" applyFill="1" applyBorder="1" applyAlignment="1">
      <alignment horizontal="left" vertical="center"/>
    </xf>
    <xf numFmtId="0" fontId="8" fillId="0" borderId="74" xfId="0" applyFont="1" applyFill="1" applyBorder="1" applyAlignment="1">
      <alignment horizontal="center" vertical="center"/>
    </xf>
    <xf numFmtId="0" fontId="8" fillId="0" borderId="74" xfId="0" applyFont="1" applyBorder="1" applyAlignment="1">
      <alignment horizontal="center" vertical="center"/>
    </xf>
    <xf numFmtId="0" fontId="8" fillId="0" borderId="73" xfId="0" applyFont="1" applyBorder="1" applyAlignment="1">
      <alignment horizontal="left" vertical="center" wrapText="1" indent="1"/>
    </xf>
    <xf numFmtId="0" fontId="8" fillId="0" borderId="74" xfId="0" quotePrefix="1" applyFont="1" applyBorder="1" applyAlignment="1">
      <alignment horizontal="left" vertical="center" wrapText="1" indent="1"/>
    </xf>
    <xf numFmtId="0" fontId="8" fillId="0" borderId="73" xfId="0" applyFont="1" applyBorder="1" applyAlignment="1">
      <alignment horizontal="left" vertical="center" indent="1"/>
    </xf>
    <xf numFmtId="0" fontId="8" fillId="0" borderId="73" xfId="0" applyFont="1" applyBorder="1" applyAlignment="1">
      <alignment horizontal="left" vertical="center" indent="2"/>
    </xf>
    <xf numFmtId="164" fontId="8" fillId="0" borderId="73" xfId="0" applyNumberFormat="1" applyFont="1" applyBorder="1" applyAlignment="1">
      <alignment horizontal="right" vertical="center" indent="2"/>
    </xf>
    <xf numFmtId="164" fontId="8" fillId="0" borderId="74" xfId="0" applyNumberFormat="1" applyFont="1" applyBorder="1" applyAlignment="1">
      <alignment horizontal="right" vertical="center" indent="1"/>
    </xf>
    <xf numFmtId="0" fontId="3" fillId="13" borderId="0" xfId="0" applyFont="1" applyFill="1" applyAlignment="1">
      <alignment horizontal="right" textRotation="90"/>
    </xf>
    <xf numFmtId="0" fontId="27" fillId="0" borderId="0" xfId="0" applyFont="1" applyBorder="1"/>
    <xf numFmtId="0" fontId="27" fillId="0" borderId="0" xfId="0" applyFont="1" applyFill="1" applyBorder="1" applyAlignment="1">
      <alignment horizontal="center"/>
    </xf>
    <xf numFmtId="0" fontId="28" fillId="0" borderId="0" xfId="0" applyFont="1" applyBorder="1"/>
    <xf numFmtId="0" fontId="28" fillId="0" borderId="0" xfId="0" applyFont="1" applyBorder="1" applyAlignment="1">
      <alignment horizontal="center"/>
    </xf>
    <xf numFmtId="0" fontId="27" fillId="0" borderId="0" xfId="0" applyFont="1" applyBorder="1" applyAlignment="1">
      <alignment horizontal="center"/>
    </xf>
    <xf numFmtId="0" fontId="26" fillId="0" borderId="0" xfId="0" applyFont="1" applyBorder="1" applyAlignment="1">
      <alignment horizontal="right"/>
    </xf>
    <xf numFmtId="165" fontId="26" fillId="0" borderId="0" xfId="3" applyFont="1" applyBorder="1"/>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77" xfId="0" applyFont="1" applyBorder="1" applyAlignment="1">
      <alignment horizontal="center" vertical="center"/>
    </xf>
    <xf numFmtId="164" fontId="8" fillId="0" borderId="77" xfId="0" applyNumberFormat="1" applyFont="1" applyBorder="1" applyAlignment="1">
      <alignment horizontal="right" vertical="center" indent="1"/>
    </xf>
    <xf numFmtId="0" fontId="8" fillId="0" borderId="76" xfId="0" applyFont="1" applyBorder="1" applyAlignment="1">
      <alignment horizontal="left" vertical="center" indent="1"/>
    </xf>
    <xf numFmtId="164" fontId="8" fillId="0" borderId="80" xfId="0" applyNumberFormat="1" applyFont="1" applyBorder="1" applyAlignment="1">
      <alignment horizontal="right" vertical="center" indent="1"/>
    </xf>
    <xf numFmtId="0" fontId="30" fillId="13" borderId="0" xfId="0" applyFont="1" applyFill="1" applyAlignment="1">
      <alignment vertical="center"/>
    </xf>
    <xf numFmtId="0" fontId="30" fillId="14" borderId="0" xfId="0" applyFont="1" applyFill="1" applyAlignment="1">
      <alignment vertical="center"/>
    </xf>
    <xf numFmtId="0" fontId="30" fillId="0" borderId="73" xfId="0" applyFont="1" applyFill="1" applyBorder="1" applyAlignment="1">
      <alignment horizontal="left" vertical="center" indent="1"/>
    </xf>
    <xf numFmtId="0" fontId="30" fillId="0" borderId="81" xfId="0" applyFont="1" applyFill="1" applyBorder="1" applyAlignment="1">
      <alignment horizontal="center" vertical="center"/>
    </xf>
    <xf numFmtId="0" fontId="30" fillId="0" borderId="81" xfId="0" applyFont="1" applyFill="1" applyBorder="1" applyAlignment="1">
      <alignment horizontal="left" vertical="center" indent="1"/>
    </xf>
    <xf numFmtId="0" fontId="30" fillId="0" borderId="0" xfId="0" applyFont="1" applyAlignment="1">
      <alignment vertical="center"/>
    </xf>
    <xf numFmtId="0" fontId="31" fillId="0" borderId="73" xfId="0" applyFont="1" applyFill="1" applyBorder="1" applyAlignment="1">
      <alignment horizontal="left" vertical="center" indent="1"/>
    </xf>
    <xf numFmtId="0" fontId="31" fillId="0" borderId="81" xfId="0" applyFont="1" applyFill="1" applyBorder="1" applyAlignment="1">
      <alignment horizontal="center" vertical="center"/>
    </xf>
    <xf numFmtId="0" fontId="31" fillId="0" borderId="81" xfId="0" applyFont="1" applyFill="1" applyBorder="1" applyAlignment="1">
      <alignment horizontal="left" vertical="center" indent="1"/>
    </xf>
    <xf numFmtId="0" fontId="0" fillId="0" borderId="0" xfId="0" applyAlignment="1">
      <alignment horizontal="left"/>
    </xf>
    <xf numFmtId="0" fontId="0" fillId="0" borderId="0" xfId="0" applyFont="1" applyFill="1" applyBorder="1" applyAlignment="1">
      <alignment horizontal="left"/>
    </xf>
    <xf numFmtId="0" fontId="7" fillId="0" borderId="0" xfId="0" applyFont="1"/>
    <xf numFmtId="0" fontId="7" fillId="0" borderId="0" xfId="0" applyFont="1" applyBorder="1"/>
    <xf numFmtId="0" fontId="7" fillId="0" borderId="0" xfId="0" applyFont="1" applyFill="1" applyBorder="1"/>
    <xf numFmtId="0" fontId="32" fillId="0" borderId="0" xfId="0" applyFont="1" applyBorder="1" applyAlignment="1">
      <alignment horizontal="center"/>
    </xf>
    <xf numFmtId="0" fontId="7" fillId="0" borderId="0" xfId="0" applyFont="1" applyBorder="1" applyAlignment="1">
      <alignment horizontal="center"/>
    </xf>
    <xf numFmtId="0" fontId="32" fillId="0" borderId="0" xfId="0" applyFont="1" applyBorder="1" applyAlignment="1">
      <alignment horizontal="right"/>
    </xf>
    <xf numFmtId="165" fontId="32" fillId="0" borderId="0" xfId="3" applyFont="1" applyBorder="1"/>
    <xf numFmtId="0" fontId="7" fillId="0" borderId="0" xfId="0" applyFont="1" applyFill="1"/>
    <xf numFmtId="0" fontId="7" fillId="0" borderId="0" xfId="0" applyFont="1" applyAlignment="1">
      <alignment horizontal="center"/>
    </xf>
    <xf numFmtId="0" fontId="35" fillId="13" borderId="0" xfId="0" applyFont="1" applyFill="1" applyProtection="1">
      <protection locked="0"/>
    </xf>
    <xf numFmtId="0" fontId="35" fillId="13" borderId="0" xfId="0" applyFont="1" applyFill="1"/>
    <xf numFmtId="0" fontId="3" fillId="13" borderId="0" xfId="0" applyFont="1" applyFill="1" applyAlignment="1">
      <alignment vertical="center"/>
    </xf>
    <xf numFmtId="0" fontId="35" fillId="0" borderId="0" xfId="0" applyFont="1"/>
    <xf numFmtId="0" fontId="7" fillId="0" borderId="0" xfId="0" applyFont="1" applyFill="1" applyAlignment="1">
      <alignment horizontal="center"/>
    </xf>
    <xf numFmtId="0" fontId="6" fillId="0" borderId="0" xfId="0" applyFont="1" applyBorder="1" applyAlignment="1">
      <alignment vertical="center"/>
    </xf>
    <xf numFmtId="0" fontId="6" fillId="4" borderId="0" xfId="0" applyFont="1" applyFill="1" applyBorder="1" applyAlignment="1">
      <alignment horizontal="left" vertical="center"/>
    </xf>
    <xf numFmtId="0" fontId="37" fillId="13" borderId="0" xfId="0" applyFont="1" applyFill="1"/>
    <xf numFmtId="0" fontId="37" fillId="14" borderId="0" xfId="0" applyFont="1" applyFill="1"/>
    <xf numFmtId="0" fontId="37" fillId="0" borderId="0" xfId="0" applyFont="1" applyBorder="1"/>
    <xf numFmtId="0" fontId="31" fillId="0" borderId="82" xfId="0" applyFont="1" applyFill="1" applyBorder="1" applyAlignment="1">
      <alignment horizontal="left" vertical="center"/>
    </xf>
    <xf numFmtId="0" fontId="31" fillId="13" borderId="0" xfId="0" applyFont="1" applyFill="1" applyAlignment="1">
      <alignment horizontal="right" vertical="top" textRotation="90"/>
    </xf>
    <xf numFmtId="0" fontId="7" fillId="0" borderId="0" xfId="0" applyFont="1" applyFill="1" applyAlignment="1">
      <alignment horizontal="center" vertical="center"/>
    </xf>
    <xf numFmtId="0" fontId="1" fillId="0" borderId="0" xfId="0" applyFont="1" applyFill="1" applyAlignment="1">
      <alignment horizontal="center" vertical="center"/>
    </xf>
    <xf numFmtId="0" fontId="33" fillId="0" borderId="0" xfId="0" applyFont="1" applyFill="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32" fillId="0" borderId="0" xfId="0" applyFont="1" applyBorder="1" applyAlignment="1">
      <alignment horizontal="center" vertical="center"/>
    </xf>
    <xf numFmtId="0" fontId="31" fillId="0" borderId="83" xfId="0" applyFont="1" applyFill="1" applyBorder="1" applyAlignment="1">
      <alignment horizontal="left" vertical="center"/>
    </xf>
    <xf numFmtId="0" fontId="31" fillId="0" borderId="85" xfId="0" applyFont="1" applyFill="1" applyBorder="1" applyAlignment="1">
      <alignment horizontal="left" vertical="center"/>
    </xf>
    <xf numFmtId="0" fontId="31" fillId="0" borderId="86" xfId="0" applyFont="1" applyFill="1" applyBorder="1" applyAlignment="1">
      <alignment horizontal="left" vertical="center"/>
    </xf>
    <xf numFmtId="0" fontId="6" fillId="4" borderId="50" xfId="0" applyFont="1" applyFill="1" applyBorder="1" applyAlignment="1">
      <alignment horizontal="left" vertical="center" indent="1"/>
    </xf>
    <xf numFmtId="0" fontId="31" fillId="0" borderId="88" xfId="0" applyFont="1" applyFill="1" applyBorder="1" applyAlignment="1">
      <alignment horizontal="left" vertical="center"/>
    </xf>
    <xf numFmtId="0" fontId="31" fillId="0" borderId="89" xfId="0" applyFont="1" applyFill="1" applyBorder="1" applyAlignment="1">
      <alignment horizontal="left" vertical="center"/>
    </xf>
    <xf numFmtId="0" fontId="0" fillId="0" borderId="0" xfId="0" quotePrefix="1" applyAlignment="1">
      <alignment horizontal="left"/>
    </xf>
    <xf numFmtId="0" fontId="34" fillId="0" borderId="76" xfId="0" applyFont="1" applyFill="1" applyBorder="1" applyAlignment="1">
      <alignment horizontal="left" vertical="center" indent="1"/>
    </xf>
    <xf numFmtId="0" fontId="3" fillId="13" borderId="0" xfId="0" applyFont="1" applyFill="1" applyAlignment="1">
      <alignment horizontal="right" vertical="center" textRotation="90"/>
    </xf>
    <xf numFmtId="0" fontId="0" fillId="14" borderId="0" xfId="0" applyFill="1" applyAlignment="1">
      <alignment vertical="center"/>
    </xf>
    <xf numFmtId="0" fontId="7" fillId="0" borderId="79" xfId="0" quotePrefix="1" applyFont="1" applyBorder="1" applyAlignment="1">
      <alignment horizontal="left" vertical="center" wrapText="1" indent="1"/>
    </xf>
    <xf numFmtId="0" fontId="7" fillId="0" borderId="76" xfId="0" applyFont="1" applyBorder="1" applyAlignment="1">
      <alignment horizontal="left" vertical="center" indent="1"/>
    </xf>
    <xf numFmtId="0" fontId="1" fillId="14" borderId="0" xfId="0" applyFont="1" applyFill="1" applyAlignment="1">
      <alignment vertical="center"/>
    </xf>
    <xf numFmtId="0" fontId="1" fillId="0" borderId="0" xfId="0" applyFont="1" applyAlignment="1">
      <alignment vertical="center"/>
    </xf>
    <xf numFmtId="0" fontId="2" fillId="14" borderId="0" xfId="0" applyFont="1" applyFill="1"/>
    <xf numFmtId="0" fontId="2" fillId="0" borderId="0" xfId="0"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xf numFmtId="0" fontId="7" fillId="14" borderId="0" xfId="0" applyFont="1" applyFill="1"/>
    <xf numFmtId="0" fontId="29" fillId="0" borderId="84" xfId="0" applyFont="1" applyFill="1" applyBorder="1" applyAlignment="1">
      <alignment horizontal="left" vertical="center" indent="1"/>
    </xf>
    <xf numFmtId="165" fontId="34" fillId="0" borderId="100" xfId="3" applyFont="1" applyFill="1" applyBorder="1" applyAlignment="1">
      <alignment horizontal="left" vertical="center" indent="1"/>
    </xf>
    <xf numFmtId="0" fontId="7" fillId="14" borderId="0" xfId="0" applyFont="1" applyFill="1" applyBorder="1"/>
    <xf numFmtId="0" fontId="32" fillId="14" borderId="0" xfId="0" applyFont="1" applyFill="1" applyBorder="1"/>
    <xf numFmtId="0" fontId="34" fillId="15" borderId="78" xfId="0" applyFont="1" applyFill="1" applyBorder="1" applyAlignment="1" applyProtection="1">
      <alignment horizontal="left" vertical="center" indent="1"/>
      <protection locked="0"/>
    </xf>
    <xf numFmtId="0" fontId="34" fillId="15" borderId="77" xfId="0" applyFont="1" applyFill="1" applyBorder="1" applyAlignment="1" applyProtection="1">
      <alignment horizontal="left" vertical="center" wrapText="1" indent="1"/>
      <protection locked="0"/>
    </xf>
    <xf numFmtId="0" fontId="34" fillId="0" borderId="104" xfId="0" applyFont="1" applyFill="1" applyBorder="1" applyAlignment="1">
      <alignment horizontal="left" vertical="center" indent="1"/>
    </xf>
    <xf numFmtId="0" fontId="38" fillId="0" borderId="0" xfId="0" applyFont="1"/>
    <xf numFmtId="0" fontId="38" fillId="0" borderId="0" xfId="0" applyFont="1" applyAlignment="1">
      <alignment horizontal="center" vertical="center"/>
    </xf>
    <xf numFmtId="0" fontId="38" fillId="0" borderId="0" xfId="0" applyFont="1" applyAlignment="1">
      <alignment horizontal="center"/>
    </xf>
    <xf numFmtId="0" fontId="38" fillId="14" borderId="0" xfId="0" applyFont="1" applyFill="1"/>
    <xf numFmtId="0" fontId="36" fillId="0" borderId="0" xfId="0" applyFont="1" applyAlignment="1">
      <alignment vertical="center"/>
    </xf>
    <xf numFmtId="0" fontId="36" fillId="0" borderId="0" xfId="0" applyFont="1" applyBorder="1" applyAlignment="1">
      <alignment vertical="center"/>
    </xf>
    <xf numFmtId="0" fontId="6" fillId="4" borderId="73" xfId="0" applyFont="1" applyFill="1" applyBorder="1" applyAlignment="1">
      <alignment horizontal="left" vertical="center"/>
    </xf>
    <xf numFmtId="0" fontId="6" fillId="4" borderId="73" xfId="0" applyFont="1" applyFill="1" applyBorder="1" applyAlignment="1">
      <alignment horizontal="left" vertical="center" indent="1"/>
    </xf>
    <xf numFmtId="0" fontId="30" fillId="0" borderId="73" xfId="0" applyFont="1" applyFill="1" applyBorder="1" applyAlignment="1">
      <alignment horizontal="left" vertical="center"/>
    </xf>
    <xf numFmtId="0" fontId="36" fillId="14" borderId="0" xfId="0" applyFont="1" applyFill="1" applyAlignment="1">
      <alignment vertical="center"/>
    </xf>
    <xf numFmtId="0" fontId="36" fillId="13" borderId="0" xfId="0" applyFont="1" applyFill="1" applyAlignment="1">
      <alignment vertical="center"/>
    </xf>
    <xf numFmtId="0" fontId="35" fillId="13" borderId="0" xfId="0" applyFont="1" applyFill="1" applyAlignment="1">
      <alignment vertical="center"/>
    </xf>
    <xf numFmtId="0" fontId="26" fillId="0" borderId="73" xfId="0" applyFont="1" applyFill="1" applyBorder="1" applyAlignment="1">
      <alignment horizontal="left" vertical="center"/>
    </xf>
    <xf numFmtId="0" fontId="36" fillId="0" borderId="0" xfId="0" applyFont="1" applyFill="1" applyBorder="1" applyAlignment="1">
      <alignment horizontal="left" vertical="center"/>
    </xf>
    <xf numFmtId="0" fontId="6" fillId="4" borderId="81" xfId="0" applyFont="1" applyFill="1" applyBorder="1" applyAlignment="1">
      <alignment horizontal="center" vertical="center"/>
    </xf>
    <xf numFmtId="0" fontId="30" fillId="0" borderId="81" xfId="0" applyFont="1" applyFill="1" applyBorder="1" applyAlignment="1">
      <alignment horizontal="left" vertical="center"/>
    </xf>
    <xf numFmtId="0" fontId="6" fillId="4" borderId="81" xfId="0" applyFont="1" applyFill="1" applyBorder="1" applyAlignment="1">
      <alignment horizontal="left" vertical="center" indent="1"/>
    </xf>
    <xf numFmtId="0" fontId="8" fillId="0" borderId="107" xfId="0" applyFont="1" applyFill="1" applyBorder="1" applyAlignment="1">
      <alignment horizontal="center" vertical="center"/>
    </xf>
    <xf numFmtId="0" fontId="8" fillId="0" borderId="0" xfId="0" applyFont="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13" borderId="0" xfId="0" applyFont="1" applyFill="1" applyAlignment="1">
      <alignment vertical="center"/>
    </xf>
    <xf numFmtId="0" fontId="8" fillId="14" borderId="0" xfId="0" applyFont="1" applyFill="1" applyAlignment="1">
      <alignment vertical="center"/>
    </xf>
    <xf numFmtId="0" fontId="8" fillId="0" borderId="107" xfId="0" applyFont="1" applyBorder="1" applyAlignment="1">
      <alignment vertical="center"/>
    </xf>
    <xf numFmtId="0" fontId="8" fillId="0" borderId="108" xfId="0" applyFont="1" applyBorder="1" applyAlignment="1">
      <alignment horizontal="center" vertical="center"/>
    </xf>
    <xf numFmtId="0" fontId="8" fillId="0" borderId="0" xfId="0" applyFont="1" applyFill="1" applyBorder="1" applyAlignment="1">
      <alignment vertical="center"/>
    </xf>
    <xf numFmtId="0" fontId="8" fillId="0" borderId="76" xfId="0" applyFont="1" applyFill="1" applyBorder="1" applyAlignment="1">
      <alignment vertical="center"/>
    </xf>
    <xf numFmtId="0" fontId="8" fillId="0" borderId="75" xfId="0" applyFont="1" applyFill="1" applyBorder="1" applyAlignment="1">
      <alignment vertical="center"/>
    </xf>
    <xf numFmtId="0" fontId="8" fillId="0" borderId="109" xfId="0" applyFont="1" applyBorder="1" applyAlignment="1">
      <alignment horizontal="center" vertical="center"/>
    </xf>
    <xf numFmtId="164" fontId="8" fillId="0" borderId="108" xfId="3" applyNumberFormat="1" applyFont="1" applyFill="1" applyBorder="1" applyAlignment="1">
      <alignment horizontal="right" vertical="center" indent="1"/>
    </xf>
    <xf numFmtId="164" fontId="8" fillId="0" borderId="108" xfId="0" applyNumberFormat="1" applyFont="1" applyBorder="1" applyAlignment="1">
      <alignment horizontal="right" vertical="center" indent="1"/>
    </xf>
    <xf numFmtId="164" fontId="8" fillId="0" borderId="77" xfId="3" applyNumberFormat="1" applyFont="1" applyFill="1" applyBorder="1" applyAlignment="1">
      <alignment horizontal="right" vertical="center" indent="1"/>
    </xf>
    <xf numFmtId="164" fontId="8" fillId="0" borderId="109" xfId="3" applyNumberFormat="1" applyFont="1" applyFill="1" applyBorder="1" applyAlignment="1">
      <alignment horizontal="right" vertical="center" indent="1"/>
    </xf>
    <xf numFmtId="164" fontId="8" fillId="0" borderId="109" xfId="0" applyNumberFormat="1" applyFont="1" applyBorder="1" applyAlignment="1">
      <alignment horizontal="right" vertical="center" indent="1"/>
    </xf>
    <xf numFmtId="164" fontId="30" fillId="0" borderId="81" xfId="0" applyNumberFormat="1" applyFont="1" applyFill="1" applyBorder="1" applyAlignment="1">
      <alignment horizontal="right" vertical="center" indent="1"/>
    </xf>
    <xf numFmtId="0" fontId="8" fillId="0" borderId="107" xfId="0" applyFont="1" applyFill="1" applyBorder="1" applyAlignment="1">
      <alignment vertical="center"/>
    </xf>
    <xf numFmtId="164" fontId="8" fillId="0" borderId="80" xfId="3" applyNumberFormat="1" applyFont="1" applyFill="1" applyBorder="1" applyAlignment="1">
      <alignment horizontal="right" vertical="center" indent="1"/>
    </xf>
    <xf numFmtId="0" fontId="8" fillId="0" borderId="104" xfId="0" applyFont="1" applyFill="1" applyBorder="1" applyAlignment="1">
      <alignment horizontal="center" vertical="center"/>
    </xf>
    <xf numFmtId="0" fontId="39" fillId="0" borderId="76" xfId="0" applyFont="1" applyFill="1" applyBorder="1" applyAlignment="1">
      <alignment horizontal="center" vertical="center"/>
    </xf>
    <xf numFmtId="0" fontId="8" fillId="0" borderId="104" xfId="0" applyFont="1" applyFill="1" applyBorder="1" applyAlignment="1">
      <alignment vertical="center"/>
    </xf>
    <xf numFmtId="0" fontId="8" fillId="0" borderId="107" xfId="3" applyNumberFormat="1" applyFont="1" applyFill="1" applyBorder="1" applyAlignment="1">
      <alignment horizontal="left" vertical="center" indent="1"/>
    </xf>
    <xf numFmtId="0" fontId="8" fillId="0" borderId="76" xfId="3" applyNumberFormat="1" applyFont="1" applyFill="1" applyBorder="1" applyAlignment="1">
      <alignment horizontal="left" vertical="center" indent="1"/>
    </xf>
    <xf numFmtId="165" fontId="8" fillId="0" borderId="76" xfId="3" applyFont="1" applyFill="1" applyBorder="1" applyAlignment="1">
      <alignment horizontal="left" vertical="center" indent="1"/>
    </xf>
    <xf numFmtId="165" fontId="8" fillId="0" borderId="75" xfId="3" applyFont="1" applyFill="1" applyBorder="1" applyAlignment="1">
      <alignment horizontal="left" vertical="center" indent="1"/>
    </xf>
    <xf numFmtId="165" fontId="8" fillId="0" borderId="107" xfId="3" applyFont="1" applyFill="1" applyBorder="1" applyAlignment="1">
      <alignment horizontal="left" vertical="center" indent="1"/>
    </xf>
    <xf numFmtId="0" fontId="8" fillId="0" borderId="104" xfId="0" applyFont="1" applyFill="1" applyBorder="1" applyAlignment="1">
      <alignment horizontal="left" vertical="center" indent="1"/>
    </xf>
    <xf numFmtId="0" fontId="27" fillId="14" borderId="0" xfId="0" applyFont="1" applyFill="1" applyBorder="1"/>
    <xf numFmtId="0" fontId="28" fillId="14" borderId="0" xfId="0" applyFont="1" applyFill="1" applyBorder="1"/>
    <xf numFmtId="0" fontId="8" fillId="0" borderId="108" xfId="0" applyFont="1" applyFill="1" applyBorder="1" applyAlignment="1">
      <alignment horizontal="center" vertical="center"/>
    </xf>
    <xf numFmtId="0" fontId="8" fillId="0" borderId="107" xfId="0" applyFont="1" applyFill="1" applyBorder="1" applyAlignment="1">
      <alignment horizontal="left" vertical="center" indent="1"/>
    </xf>
    <xf numFmtId="0" fontId="39" fillId="0" borderId="107" xfId="0" applyFont="1" applyFill="1" applyBorder="1" applyAlignment="1">
      <alignment horizontal="left" vertical="center" indent="1"/>
    </xf>
    <xf numFmtId="0" fontId="39" fillId="0" borderId="76" xfId="0" applyFont="1" applyFill="1" applyBorder="1" applyAlignment="1">
      <alignment horizontal="left" vertical="center" indent="1"/>
    </xf>
    <xf numFmtId="0" fontId="39" fillId="0" borderId="75" xfId="0" applyFont="1" applyFill="1" applyBorder="1" applyAlignment="1">
      <alignment horizontal="left" vertical="center" indent="1"/>
    </xf>
    <xf numFmtId="0" fontId="39" fillId="0" borderId="110" xfId="0" applyFont="1" applyFill="1" applyBorder="1" applyAlignment="1">
      <alignment horizontal="left" vertical="center" indent="1"/>
    </xf>
    <xf numFmtId="0" fontId="39" fillId="0" borderId="111" xfId="0" applyFont="1" applyFill="1" applyBorder="1" applyAlignment="1">
      <alignment horizontal="left" vertical="center" indent="1"/>
    </xf>
    <xf numFmtId="0" fontId="8" fillId="0" borderId="105" xfId="0" applyFont="1" applyFill="1" applyBorder="1" applyAlignment="1">
      <alignment horizontal="left" vertical="center" indent="1"/>
    </xf>
    <xf numFmtId="0" fontId="8" fillId="0" borderId="106" xfId="0" applyFont="1" applyFill="1" applyBorder="1" applyAlignment="1">
      <alignment horizontal="left" vertical="center" indent="1"/>
    </xf>
    <xf numFmtId="0" fontId="39" fillId="0" borderId="108" xfId="0" applyFont="1" applyFill="1" applyBorder="1" applyAlignment="1">
      <alignment horizontal="left" vertical="center" indent="1"/>
    </xf>
    <xf numFmtId="0" fontId="8" fillId="16" borderId="77" xfId="0" applyFont="1" applyFill="1" applyBorder="1" applyAlignment="1">
      <alignment horizontal="left" vertical="center" indent="1"/>
    </xf>
    <xf numFmtId="0" fontId="39" fillId="0" borderId="77" xfId="0" applyFont="1" applyFill="1" applyBorder="1" applyAlignment="1">
      <alignment horizontal="left" vertical="center" indent="1"/>
    </xf>
    <xf numFmtId="0" fontId="39" fillId="0" borderId="109" xfId="0" applyFont="1" applyFill="1" applyBorder="1" applyAlignment="1">
      <alignment horizontal="left" vertical="center" indent="1"/>
    </xf>
    <xf numFmtId="0" fontId="8" fillId="0" borderId="109" xfId="0" applyFont="1" applyFill="1" applyBorder="1" applyAlignment="1">
      <alignment horizontal="center" vertical="center"/>
    </xf>
    <xf numFmtId="0" fontId="8" fillId="15" borderId="76" xfId="0" applyFont="1" applyFill="1" applyBorder="1" applyAlignment="1" applyProtection="1">
      <alignment horizontal="left" vertical="center" indent="1"/>
      <protection locked="0"/>
    </xf>
    <xf numFmtId="0" fontId="8" fillId="15" borderId="108" xfId="0" applyFont="1" applyFill="1" applyBorder="1" applyAlignment="1" applyProtection="1">
      <alignment horizontal="center" vertical="center"/>
      <protection locked="0"/>
    </xf>
    <xf numFmtId="0" fontId="8" fillId="15" borderId="80" xfId="0" applyFont="1" applyFill="1" applyBorder="1" applyAlignment="1" applyProtection="1">
      <alignment horizontal="center" vertical="center"/>
      <protection locked="0"/>
    </xf>
    <xf numFmtId="0" fontId="8" fillId="15" borderId="77" xfId="0" applyFont="1" applyFill="1" applyBorder="1" applyAlignment="1" applyProtection="1">
      <alignment horizontal="left" vertical="center" wrapText="1" indent="1"/>
      <protection locked="0"/>
    </xf>
    <xf numFmtId="0" fontId="8" fillId="15" borderId="77" xfId="0" applyFont="1" applyFill="1" applyBorder="1" applyAlignment="1" applyProtection="1">
      <alignment horizontal="left" vertical="center" indent="1"/>
      <protection locked="0"/>
    </xf>
    <xf numFmtId="0" fontId="8" fillId="15" borderId="109" xfId="0" applyFont="1" applyFill="1" applyBorder="1" applyAlignment="1" applyProtection="1">
      <alignment horizontal="left" vertical="center" indent="1"/>
      <protection locked="0"/>
    </xf>
    <xf numFmtId="0" fontId="8" fillId="15" borderId="108" xfId="0" applyFont="1" applyFill="1" applyBorder="1" applyAlignment="1" applyProtection="1">
      <alignment horizontal="left" vertical="center" indent="1"/>
      <protection locked="0"/>
    </xf>
    <xf numFmtId="0" fontId="8" fillId="15" borderId="80" xfId="0" applyFont="1" applyFill="1" applyBorder="1" applyAlignment="1" applyProtection="1">
      <alignment horizontal="left" vertical="center" wrapText="1" indent="1"/>
      <protection locked="0"/>
    </xf>
    <xf numFmtId="0" fontId="8" fillId="15" borderId="80" xfId="0" applyFont="1" applyFill="1" applyBorder="1" applyAlignment="1" applyProtection="1">
      <alignment horizontal="left" vertical="center" indent="1"/>
      <protection locked="0"/>
    </xf>
    <xf numFmtId="0" fontId="26" fillId="0" borderId="73" xfId="0" applyFont="1" applyFill="1" applyBorder="1" applyAlignment="1">
      <alignment horizontal="left" vertical="center" indent="1"/>
    </xf>
    <xf numFmtId="0" fontId="8" fillId="16" borderId="104" xfId="0" applyFont="1" applyFill="1" applyBorder="1" applyAlignment="1">
      <alignment horizontal="left" vertical="center" indent="1"/>
    </xf>
    <xf numFmtId="0" fontId="6" fillId="4" borderId="73" xfId="0" applyFont="1" applyFill="1" applyBorder="1" applyAlignment="1">
      <alignment vertical="center"/>
    </xf>
    <xf numFmtId="0" fontId="8" fillId="0" borderId="0" xfId="0" applyFont="1" applyFill="1" applyAlignment="1">
      <alignment vertical="center"/>
    </xf>
    <xf numFmtId="0" fontId="26" fillId="0" borderId="81" xfId="0" applyFont="1" applyFill="1" applyBorder="1" applyAlignment="1">
      <alignment horizontal="left" vertical="center"/>
    </xf>
    <xf numFmtId="0" fontId="7" fillId="0" borderId="76" xfId="0" quotePrefix="1" applyFont="1" applyBorder="1" applyAlignment="1">
      <alignment horizontal="left" vertical="center" wrapText="1" indent="1"/>
    </xf>
    <xf numFmtId="0" fontId="26" fillId="0" borderId="81" xfId="0" applyFont="1" applyFill="1" applyBorder="1" applyAlignment="1">
      <alignment horizontal="left" vertical="center" indent="1"/>
    </xf>
    <xf numFmtId="164" fontId="26" fillId="0" borderId="81" xfId="0" applyNumberFormat="1" applyFont="1" applyFill="1" applyBorder="1" applyAlignment="1">
      <alignment horizontal="right" vertical="center" indent="1"/>
    </xf>
    <xf numFmtId="0" fontId="35" fillId="13" borderId="112" xfId="0" applyFont="1" applyFill="1" applyBorder="1" applyProtection="1">
      <protection locked="0"/>
    </xf>
    <xf numFmtId="0" fontId="0" fillId="14" borderId="112" xfId="0" applyFill="1" applyBorder="1"/>
    <xf numFmtId="0" fontId="7" fillId="14" borderId="112" xfId="0" applyFont="1" applyFill="1" applyBorder="1"/>
    <xf numFmtId="0" fontId="7" fillId="0" borderId="112" xfId="0" applyFont="1" applyBorder="1" applyAlignment="1">
      <alignment horizontal="center" vertical="center"/>
    </xf>
    <xf numFmtId="0" fontId="7" fillId="0" borderId="112" xfId="0" applyFont="1" applyBorder="1" applyAlignment="1">
      <alignment horizontal="center"/>
    </xf>
    <xf numFmtId="0" fontId="7" fillId="0" borderId="112" xfId="0" applyFont="1" applyBorder="1"/>
    <xf numFmtId="0" fontId="8" fillId="0" borderId="107" xfId="0" quotePrefix="1" applyFont="1" applyBorder="1" applyAlignment="1">
      <alignment horizontal="left" vertical="center" wrapText="1" indent="1"/>
    </xf>
    <xf numFmtId="0" fontId="31" fillId="0" borderId="73" xfId="0" applyFont="1" applyFill="1" applyBorder="1" applyAlignment="1">
      <alignment horizontal="left" vertical="center"/>
    </xf>
    <xf numFmtId="0" fontId="41" fillId="4" borderId="0" xfId="0" applyFont="1" applyFill="1" applyBorder="1" applyAlignment="1">
      <alignment vertical="center"/>
    </xf>
    <xf numFmtId="0" fontId="37" fillId="13" borderId="0" xfId="0" applyFont="1" applyFill="1" applyAlignment="1">
      <alignment vertical="center"/>
    </xf>
    <xf numFmtId="0" fontId="37" fillId="14" borderId="0" xfId="0" applyFont="1" applyFill="1" applyAlignment="1">
      <alignment vertical="center"/>
    </xf>
    <xf numFmtId="0" fontId="37" fillId="0" borderId="0" xfId="0" applyFont="1" applyAlignment="1">
      <alignment vertical="center"/>
    </xf>
    <xf numFmtId="0" fontId="31" fillId="0" borderId="81" xfId="0" applyFont="1" applyFill="1" applyBorder="1" applyAlignment="1">
      <alignment horizontal="left" vertical="center"/>
    </xf>
    <xf numFmtId="0" fontId="8" fillId="15" borderId="118" xfId="0" applyFont="1" applyFill="1" applyBorder="1" applyAlignment="1" applyProtection="1">
      <alignment horizontal="left" vertical="center" indent="1"/>
      <protection locked="0"/>
    </xf>
    <xf numFmtId="164" fontId="8" fillId="0" borderId="118" xfId="3" applyNumberFormat="1" applyFont="1" applyFill="1" applyBorder="1" applyAlignment="1">
      <alignment horizontal="right" vertical="center" wrapText="1" indent="1"/>
    </xf>
    <xf numFmtId="164" fontId="8" fillId="0" borderId="118" xfId="0" applyNumberFormat="1" applyFont="1" applyBorder="1" applyAlignment="1">
      <alignment horizontal="right" vertical="center" indent="1"/>
    </xf>
    <xf numFmtId="0" fontId="39" fillId="0" borderId="123" xfId="0" applyFont="1" applyFill="1" applyBorder="1" applyAlignment="1">
      <alignment horizontal="left" vertical="center" indent="1"/>
    </xf>
    <xf numFmtId="0" fontId="8" fillId="15" borderId="116" xfId="0" applyFont="1" applyFill="1" applyBorder="1" applyAlignment="1" applyProtection="1">
      <alignment horizontal="left" vertical="center" indent="1"/>
      <protection locked="0"/>
    </xf>
    <xf numFmtId="164" fontId="8" fillId="0" borderId="116" xfId="3" applyNumberFormat="1" applyFont="1" applyFill="1" applyBorder="1" applyAlignment="1">
      <alignment horizontal="right" vertical="center" indent="1"/>
    </xf>
    <xf numFmtId="164" fontId="8" fillId="0" borderId="116" xfId="0" applyNumberFormat="1" applyFont="1" applyBorder="1" applyAlignment="1">
      <alignment horizontal="right" vertical="center" indent="1"/>
    </xf>
    <xf numFmtId="0" fontId="39" fillId="0" borderId="121" xfId="0" applyFont="1" applyFill="1" applyBorder="1" applyAlignment="1">
      <alignment horizontal="left" vertical="center" indent="1"/>
    </xf>
    <xf numFmtId="0" fontId="8" fillId="15" borderId="124" xfId="0" applyFont="1" applyFill="1" applyBorder="1" applyAlignment="1" applyProtection="1">
      <alignment horizontal="left" vertical="center" indent="1"/>
      <protection locked="0"/>
    </xf>
    <xf numFmtId="164" fontId="8" fillId="0" borderId="124" xfId="3" applyNumberFormat="1" applyFont="1" applyFill="1" applyBorder="1" applyAlignment="1">
      <alignment horizontal="right" vertical="center" wrapText="1" indent="1"/>
    </xf>
    <xf numFmtId="164" fontId="8" fillId="0" borderId="124" xfId="0" applyNumberFormat="1" applyFont="1" applyBorder="1" applyAlignment="1">
      <alignment horizontal="right" vertical="center" indent="1"/>
    </xf>
    <xf numFmtId="0" fontId="39" fillId="0" borderId="125" xfId="0" applyFont="1" applyFill="1" applyBorder="1" applyAlignment="1">
      <alignment horizontal="left" vertical="center" indent="1"/>
    </xf>
    <xf numFmtId="0" fontId="39" fillId="0" borderId="115" xfId="0" applyFont="1" applyFill="1" applyBorder="1" applyAlignment="1">
      <alignment horizontal="left" vertical="center" indent="1"/>
    </xf>
    <xf numFmtId="0" fontId="8" fillId="0" borderId="125" xfId="0" applyFont="1" applyBorder="1" applyAlignment="1">
      <alignment vertical="center"/>
    </xf>
    <xf numFmtId="0" fontId="8" fillId="0" borderId="124" xfId="0" applyFont="1" applyBorder="1" applyAlignment="1">
      <alignment horizontal="center" vertical="center"/>
    </xf>
    <xf numFmtId="0" fontId="8" fillId="0" borderId="115" xfId="0" applyFont="1" applyFill="1" applyBorder="1" applyAlignment="1">
      <alignment vertical="center"/>
    </xf>
    <xf numFmtId="0" fontId="8" fillId="0" borderId="116" xfId="0" applyFont="1" applyBorder="1" applyAlignment="1">
      <alignment horizontal="center" vertical="center"/>
    </xf>
    <xf numFmtId="0" fontId="8" fillId="0" borderId="117" xfId="0" applyFont="1" applyBorder="1" applyAlignment="1">
      <alignment vertical="center"/>
    </xf>
    <xf numFmtId="0" fontId="8" fillId="0" borderId="118" xfId="0" applyFont="1" applyBorder="1" applyAlignment="1">
      <alignment horizontal="center" vertical="center"/>
    </xf>
    <xf numFmtId="0" fontId="8" fillId="0" borderId="115" xfId="0" applyFont="1" applyBorder="1" applyAlignment="1">
      <alignment vertical="center"/>
    </xf>
    <xf numFmtId="0" fontId="8" fillId="0" borderId="116" xfId="0" applyFont="1" applyFill="1" applyBorder="1" applyAlignment="1">
      <alignment horizontal="center" vertical="center"/>
    </xf>
    <xf numFmtId="0" fontId="8" fillId="16" borderId="76" xfId="0" applyFont="1" applyFill="1" applyBorder="1" applyAlignment="1">
      <alignment horizontal="left" vertical="center" indent="1"/>
    </xf>
    <xf numFmtId="0" fontId="8" fillId="0" borderId="77" xfId="0" applyFont="1" applyFill="1" applyBorder="1" applyAlignment="1">
      <alignment horizontal="left" vertical="center" indent="1"/>
    </xf>
    <xf numFmtId="164" fontId="31" fillId="0" borderId="81" xfId="0" applyNumberFormat="1" applyFont="1" applyFill="1" applyBorder="1" applyAlignment="1">
      <alignment horizontal="right" vertical="center" indent="1"/>
    </xf>
    <xf numFmtId="164" fontId="8" fillId="0" borderId="77" xfId="0" applyNumberFormat="1" applyFont="1" applyFill="1" applyBorder="1" applyAlignment="1">
      <alignment horizontal="right" vertical="center" indent="1"/>
    </xf>
    <xf numFmtId="0" fontId="8" fillId="0" borderId="76" xfId="0" applyFont="1" applyFill="1" applyBorder="1" applyAlignment="1">
      <alignment horizontal="left" vertical="center" indent="1"/>
    </xf>
    <xf numFmtId="0" fontId="35" fillId="0" borderId="112" xfId="0" applyFont="1" applyBorder="1"/>
    <xf numFmtId="0" fontId="0" fillId="0" borderId="112" xfId="0" applyBorder="1"/>
    <xf numFmtId="0" fontId="21" fillId="0" borderId="125" xfId="0" applyFont="1" applyFill="1" applyBorder="1" applyAlignment="1">
      <alignment horizontal="left" vertical="center" indent="1"/>
    </xf>
    <xf numFmtId="0" fontId="21" fillId="0" borderId="115" xfId="0" applyFont="1" applyFill="1" applyBorder="1" applyAlignment="1">
      <alignment horizontal="left" vertical="center" indent="1"/>
    </xf>
    <xf numFmtId="0" fontId="21" fillId="0" borderId="117" xfId="0" applyFont="1" applyFill="1" applyBorder="1" applyAlignment="1">
      <alignment horizontal="left" vertical="center" indent="1"/>
    </xf>
    <xf numFmtId="0" fontId="21" fillId="0" borderId="76" xfId="3" applyNumberFormat="1" applyFont="1" applyFill="1" applyBorder="1" applyAlignment="1">
      <alignment horizontal="left" vertical="center" indent="1"/>
    </xf>
    <xf numFmtId="165" fontId="21" fillId="0" borderId="76" xfId="3" applyFont="1" applyFill="1" applyBorder="1" applyAlignment="1">
      <alignment horizontal="left" vertical="center" indent="1"/>
    </xf>
    <xf numFmtId="0" fontId="0" fillId="13" borderId="112" xfId="0" applyFill="1" applyBorder="1" applyProtection="1">
      <protection locked="0"/>
    </xf>
    <xf numFmtId="0" fontId="5" fillId="9" borderId="126" xfId="0" applyFont="1" applyFill="1" applyBorder="1" applyProtection="1">
      <protection locked="0"/>
    </xf>
    <xf numFmtId="0" fontId="0" fillId="10" borderId="126" xfId="0" applyFill="1" applyBorder="1"/>
    <xf numFmtId="0" fontId="0" fillId="0" borderId="126" xfId="0" applyBorder="1"/>
    <xf numFmtId="0" fontId="5" fillId="0" borderId="126" xfId="0" applyFont="1" applyBorder="1"/>
    <xf numFmtId="0" fontId="5" fillId="11" borderId="127" xfId="0" applyFont="1" applyFill="1" applyBorder="1" applyProtection="1">
      <protection locked="0"/>
    </xf>
    <xf numFmtId="0" fontId="0" fillId="12" borderId="127" xfId="0" applyFill="1" applyBorder="1"/>
    <xf numFmtId="0" fontId="0" fillId="0" borderId="127" xfId="0" applyBorder="1"/>
    <xf numFmtId="0" fontId="5" fillId="0" borderId="127" xfId="0" applyFont="1" applyBorder="1"/>
    <xf numFmtId="0" fontId="5" fillId="7" borderId="128" xfId="0" applyFont="1" applyFill="1" applyBorder="1" applyProtection="1">
      <protection locked="0"/>
    </xf>
    <xf numFmtId="0" fontId="0" fillId="8" borderId="128" xfId="0" applyFill="1" applyBorder="1"/>
    <xf numFmtId="0" fontId="0" fillId="0" borderId="128" xfId="0" applyBorder="1"/>
    <xf numFmtId="0" fontId="5" fillId="0" borderId="128" xfId="0" applyFont="1" applyBorder="1"/>
    <xf numFmtId="0" fontId="5" fillId="7" borderId="128" xfId="0" applyFont="1" applyFill="1" applyBorder="1" applyAlignment="1" applyProtection="1">
      <protection locked="0"/>
    </xf>
    <xf numFmtId="0" fontId="0" fillId="5" borderId="129" xfId="0" applyFill="1" applyBorder="1" applyProtection="1">
      <protection locked="0"/>
    </xf>
    <xf numFmtId="0" fontId="0" fillId="6" borderId="129" xfId="0" applyFill="1" applyBorder="1"/>
    <xf numFmtId="0" fontId="0" fillId="0" borderId="129" xfId="0" applyBorder="1"/>
    <xf numFmtId="0" fontId="0" fillId="0" borderId="130" xfId="0" applyBorder="1"/>
    <xf numFmtId="0" fontId="8" fillId="0" borderId="55" xfId="0" applyFont="1" applyFill="1" applyBorder="1" applyAlignment="1">
      <alignment horizontal="center" vertical="center"/>
    </xf>
    <xf numFmtId="0" fontId="8" fillId="0" borderId="0" xfId="0" quotePrefix="1" applyFont="1" applyAlignment="1">
      <alignment horizontal="left"/>
    </xf>
    <xf numFmtId="0" fontId="8" fillId="0" borderId="6" xfId="0" applyFont="1" applyFill="1" applyBorder="1" applyAlignment="1">
      <alignment horizontal="left" vertical="center" indent="1"/>
    </xf>
    <xf numFmtId="0" fontId="8" fillId="0" borderId="15" xfId="0" quotePrefix="1" applyFont="1" applyFill="1" applyBorder="1" applyAlignment="1">
      <alignment horizontal="left" vertical="center" wrapText="1" indent="1"/>
    </xf>
    <xf numFmtId="0" fontId="7" fillId="0" borderId="4" xfId="0" quotePrefix="1" applyFont="1" applyFill="1" applyBorder="1" applyAlignment="1">
      <alignment horizontal="left" vertical="center" wrapText="1" indent="1"/>
    </xf>
    <xf numFmtId="0" fontId="8" fillId="0" borderId="4" xfId="0" quotePrefix="1" applyFont="1" applyFill="1" applyBorder="1" applyAlignment="1">
      <alignment horizontal="left" vertical="center" wrapText="1" indent="1"/>
    </xf>
    <xf numFmtId="0" fontId="8" fillId="0" borderId="14" xfId="0" applyFont="1" applyFill="1" applyBorder="1" applyAlignment="1">
      <alignment horizontal="left" vertical="center" indent="1"/>
    </xf>
    <xf numFmtId="0" fontId="7" fillId="0" borderId="8" xfId="0" quotePrefix="1" applyFont="1" applyFill="1" applyBorder="1" applyAlignment="1">
      <alignment horizontal="left" vertical="center" wrapText="1" indent="1"/>
    </xf>
    <xf numFmtId="0" fontId="8" fillId="0" borderId="8" xfId="0" quotePrefix="1" applyFont="1" applyFill="1" applyBorder="1" applyAlignment="1">
      <alignment horizontal="left" vertical="center" wrapText="1" indent="1"/>
    </xf>
    <xf numFmtId="0" fontId="22" fillId="8" borderId="0" xfId="0" quotePrefix="1" applyFont="1" applyFill="1" applyAlignment="1">
      <alignment horizontal="left"/>
    </xf>
    <xf numFmtId="0" fontId="8" fillId="0" borderId="43" xfId="0" applyFont="1" applyFill="1" applyBorder="1" applyAlignment="1">
      <alignment horizontal="center" vertical="center"/>
    </xf>
    <xf numFmtId="0" fontId="21" fillId="0" borderId="2" xfId="0" quotePrefix="1" applyFont="1" applyFill="1" applyBorder="1" applyAlignment="1">
      <alignment horizontal="left" vertical="center" wrapText="1" indent="1"/>
    </xf>
    <xf numFmtId="0" fontId="40" fillId="6" borderId="0" xfId="0" applyFont="1" applyFill="1"/>
    <xf numFmtId="0" fontId="8" fillId="0" borderId="76" xfId="0" applyFont="1" applyFill="1" applyBorder="1" applyAlignment="1">
      <alignment horizontal="center" vertical="center"/>
    </xf>
    <xf numFmtId="165" fontId="34" fillId="0" borderId="96" xfId="3" applyFont="1" applyFill="1" applyBorder="1" applyAlignment="1">
      <alignment horizontal="left" vertical="center" indent="1"/>
    </xf>
    <xf numFmtId="0" fontId="34" fillId="0" borderId="119" xfId="0" applyFont="1" applyFill="1" applyBorder="1" applyAlignment="1">
      <alignment horizontal="left" indent="1"/>
    </xf>
    <xf numFmtId="0" fontId="34" fillId="0" borderId="120" xfId="0" applyFont="1" applyFill="1" applyBorder="1" applyAlignment="1">
      <alignment horizontal="left" indent="1"/>
    </xf>
    <xf numFmtId="0" fontId="34" fillId="0" borderId="122" xfId="0" applyFont="1" applyFill="1" applyBorder="1" applyAlignment="1">
      <alignment horizontal="left" indent="1"/>
    </xf>
    <xf numFmtId="0" fontId="34" fillId="0" borderId="122" xfId="0" applyFont="1" applyFill="1" applyBorder="1" applyAlignment="1">
      <alignment horizontal="left" wrapText="1" indent="1"/>
    </xf>
    <xf numFmtId="0" fontId="34" fillId="0" borderId="78" xfId="0" applyFont="1" applyFill="1" applyBorder="1" applyAlignment="1">
      <alignment horizontal="left" vertical="center" indent="1"/>
    </xf>
    <xf numFmtId="0" fontId="34" fillId="0" borderId="78" xfId="3" applyNumberFormat="1" applyFont="1" applyFill="1" applyBorder="1" applyAlignment="1">
      <alignment horizontal="left" vertical="center" indent="1"/>
    </xf>
    <xf numFmtId="165" fontId="34" fillId="0" borderId="78" xfId="3" applyFont="1" applyFill="1" applyBorder="1" applyAlignment="1">
      <alignment horizontal="left" vertical="center" indent="1"/>
    </xf>
    <xf numFmtId="0" fontId="34" fillId="0" borderId="113" xfId="0" applyFont="1" applyBorder="1"/>
    <xf numFmtId="0" fontId="34" fillId="0" borderId="114" xfId="0" applyFont="1" applyBorder="1" applyAlignment="1">
      <alignment horizontal="center" vertical="center"/>
    </xf>
    <xf numFmtId="0" fontId="34" fillId="15" borderId="119" xfId="0" applyFont="1" applyFill="1" applyBorder="1" applyAlignment="1" applyProtection="1">
      <alignment horizontal="left" indent="1"/>
      <protection locked="0"/>
    </xf>
    <xf numFmtId="164" fontId="34" fillId="0" borderId="114" xfId="3" applyNumberFormat="1" applyFont="1" applyFill="1" applyBorder="1" applyAlignment="1">
      <alignment horizontal="right" wrapText="1" indent="1"/>
    </xf>
    <xf numFmtId="0" fontId="34" fillId="0" borderId="115" xfId="0" applyFont="1" applyFill="1" applyBorder="1"/>
    <xf numFmtId="0" fontId="34" fillId="0" borderId="116" xfId="0" applyFont="1" applyFill="1" applyBorder="1" applyAlignment="1">
      <alignment horizontal="center" vertical="center"/>
    </xf>
    <xf numFmtId="0" fontId="34" fillId="0" borderId="116" xfId="0" applyFont="1" applyBorder="1" applyAlignment="1">
      <alignment horizontal="center" vertical="center"/>
    </xf>
    <xf numFmtId="0" fontId="34" fillId="15" borderId="120" xfId="0" applyFont="1" applyFill="1" applyBorder="1" applyAlignment="1" applyProtection="1">
      <alignment horizontal="left" indent="1"/>
      <protection locked="0"/>
    </xf>
    <xf numFmtId="164" fontId="34" fillId="0" borderId="116" xfId="3" applyNumberFormat="1" applyFont="1" applyFill="1" applyBorder="1" applyAlignment="1">
      <alignment horizontal="right" indent="1"/>
    </xf>
    <xf numFmtId="0" fontId="34" fillId="0" borderId="117" xfId="0" applyFont="1" applyBorder="1"/>
    <xf numFmtId="0" fontId="34" fillId="0" borderId="118" xfId="0" applyFont="1" applyBorder="1" applyAlignment="1">
      <alignment horizontal="center" vertical="center"/>
    </xf>
    <xf numFmtId="0" fontId="34" fillId="15" borderId="122" xfId="0" applyFont="1" applyFill="1" applyBorder="1" applyAlignment="1" applyProtection="1">
      <alignment horizontal="left" indent="1"/>
      <protection locked="0"/>
    </xf>
    <xf numFmtId="164" fontId="34" fillId="0" borderId="118" xfId="3" applyNumberFormat="1" applyFont="1" applyFill="1" applyBorder="1" applyAlignment="1">
      <alignment horizontal="right" indent="1"/>
    </xf>
    <xf numFmtId="0" fontId="34" fillId="0" borderId="115" xfId="0" applyFont="1" applyBorder="1"/>
    <xf numFmtId="0" fontId="34" fillId="0" borderId="118" xfId="0" applyFont="1" applyFill="1" applyBorder="1" applyAlignment="1">
      <alignment horizontal="center" vertical="center"/>
    </xf>
    <xf numFmtId="164" fontId="34" fillId="0" borderId="116" xfId="3" applyNumberFormat="1" applyFont="1" applyFill="1" applyBorder="1" applyAlignment="1">
      <alignment horizontal="right" wrapText="1" indent="1"/>
    </xf>
    <xf numFmtId="0" fontId="34" fillId="0" borderId="76" xfId="0" applyFont="1" applyFill="1" applyBorder="1" applyAlignment="1">
      <alignment horizontal="center" vertical="center"/>
    </xf>
    <xf numFmtId="0" fontId="34" fillId="0" borderId="76" xfId="0" applyFont="1" applyFill="1" applyBorder="1" applyAlignment="1">
      <alignment vertical="center"/>
    </xf>
    <xf numFmtId="0" fontId="34" fillId="0" borderId="77" xfId="0" applyFont="1" applyFill="1" applyBorder="1" applyAlignment="1">
      <alignment horizontal="center" vertical="center"/>
    </xf>
    <xf numFmtId="0" fontId="34" fillId="0" borderId="77" xfId="0" applyFont="1" applyBorder="1" applyAlignment="1">
      <alignment horizontal="center" vertical="center"/>
    </xf>
    <xf numFmtId="0" fontId="34" fillId="0" borderId="76" xfId="0" applyFont="1" applyBorder="1" applyAlignment="1">
      <alignment horizontal="left" vertical="center" indent="1"/>
    </xf>
    <xf numFmtId="0" fontId="34" fillId="0" borderId="79" xfId="0" applyFont="1" applyBorder="1" applyAlignment="1">
      <alignment horizontal="left" vertical="center" indent="1"/>
    </xf>
    <xf numFmtId="164" fontId="34" fillId="0" borderId="77" xfId="3" applyNumberFormat="1" applyFont="1" applyFill="1" applyBorder="1" applyAlignment="1">
      <alignment horizontal="right" vertical="center" indent="1"/>
    </xf>
    <xf numFmtId="0" fontId="34" fillId="0" borderId="79" xfId="0" quotePrefix="1" applyFont="1" applyBorder="1" applyAlignment="1">
      <alignment horizontal="left" vertical="center" wrapText="1" indent="1"/>
    </xf>
    <xf numFmtId="0" fontId="34" fillId="0" borderId="79" xfId="0" applyFont="1" applyFill="1" applyBorder="1" applyAlignment="1">
      <alignment horizontal="left" vertical="center" indent="1"/>
    </xf>
    <xf numFmtId="0" fontId="34" fillId="15" borderId="77" xfId="0" applyFont="1" applyFill="1" applyBorder="1" applyAlignment="1" applyProtection="1">
      <alignment horizontal="left" vertical="center" indent="1"/>
      <protection locked="0"/>
    </xf>
    <xf numFmtId="0" fontId="34" fillId="0" borderId="75" xfId="0" applyFont="1" applyFill="1" applyBorder="1" applyAlignment="1">
      <alignment vertical="center"/>
    </xf>
    <xf numFmtId="0" fontId="34" fillId="0" borderId="109" xfId="0" applyFont="1" applyFill="1" applyBorder="1" applyAlignment="1">
      <alignment horizontal="center" vertical="center"/>
    </xf>
    <xf numFmtId="0" fontId="34" fillId="0" borderId="109" xfId="0" applyFont="1" applyBorder="1" applyAlignment="1">
      <alignment horizontal="center" vertical="center"/>
    </xf>
    <xf numFmtId="0" fontId="34" fillId="0" borderId="131" xfId="0" applyFont="1" applyFill="1" applyBorder="1" applyAlignment="1">
      <alignment horizontal="left" vertical="center" indent="1"/>
    </xf>
    <xf numFmtId="0" fontId="34" fillId="0" borderId="75" xfId="0" applyFont="1" applyFill="1" applyBorder="1" applyAlignment="1">
      <alignment horizontal="left" vertical="center" indent="1"/>
    </xf>
    <xf numFmtId="0" fontId="34" fillId="0" borderId="132" xfId="0" applyFont="1" applyFill="1" applyBorder="1" applyAlignment="1">
      <alignment horizontal="left" vertical="center" indent="1"/>
    </xf>
    <xf numFmtId="0" fontId="34" fillId="15" borderId="109" xfId="0" applyFont="1" applyFill="1" applyBorder="1" applyAlignment="1" applyProtection="1">
      <alignment horizontal="left" vertical="center" indent="1"/>
      <protection locked="0"/>
    </xf>
    <xf numFmtId="164" fontId="34" fillId="0" borderId="109" xfId="3" applyNumberFormat="1" applyFont="1" applyFill="1" applyBorder="1" applyAlignment="1">
      <alignment horizontal="right" vertical="center" indent="1"/>
    </xf>
    <xf numFmtId="164" fontId="34" fillId="0" borderId="109" xfId="0" applyNumberFormat="1" applyFont="1" applyBorder="1" applyAlignment="1">
      <alignment horizontal="right" vertical="center" indent="1"/>
    </xf>
    <xf numFmtId="0" fontId="34" fillId="0" borderId="96" xfId="0" applyFont="1" applyFill="1" applyBorder="1" applyAlignment="1">
      <alignment horizontal="center" vertical="center"/>
    </xf>
    <xf numFmtId="0" fontId="34" fillId="0" borderId="96" xfId="0" applyFont="1" applyFill="1" applyBorder="1" applyAlignment="1">
      <alignment vertical="center"/>
    </xf>
    <xf numFmtId="0" fontId="34" fillId="0" borderId="97" xfId="0" applyFont="1" applyFill="1" applyBorder="1" applyAlignment="1">
      <alignment horizontal="center" vertical="center"/>
    </xf>
    <xf numFmtId="0" fontId="34" fillId="0" borderId="97" xfId="0" applyFont="1" applyBorder="1" applyAlignment="1">
      <alignment horizontal="center" vertical="center"/>
    </xf>
    <xf numFmtId="0" fontId="34" fillId="0" borderId="98" xfId="0" applyFont="1" applyFill="1" applyBorder="1" applyAlignment="1">
      <alignment horizontal="left" vertical="center" indent="1"/>
    </xf>
    <xf numFmtId="0" fontId="34" fillId="0" borderId="96" xfId="0" applyFont="1" applyFill="1" applyBorder="1" applyAlignment="1">
      <alignment horizontal="left" vertical="center" indent="1"/>
    </xf>
    <xf numFmtId="0" fontId="34" fillId="0" borderId="99" xfId="0" applyFont="1" applyFill="1" applyBorder="1" applyAlignment="1">
      <alignment horizontal="left" vertical="center" indent="1"/>
    </xf>
    <xf numFmtId="0" fontId="34" fillId="0" borderId="97" xfId="0" applyFont="1" applyFill="1" applyBorder="1" applyAlignment="1" applyProtection="1">
      <alignment horizontal="left" vertical="center" indent="1"/>
      <protection locked="0"/>
    </xf>
    <xf numFmtId="164" fontId="34" fillId="0" borderId="97" xfId="3" applyNumberFormat="1" applyFont="1" applyFill="1" applyBorder="1" applyAlignment="1">
      <alignment horizontal="right" vertical="center" indent="1"/>
    </xf>
    <xf numFmtId="0" fontId="29" fillId="0" borderId="84" xfId="0" applyFont="1" applyFill="1" applyBorder="1" applyAlignment="1">
      <alignment horizontal="left" vertical="center"/>
    </xf>
    <xf numFmtId="0" fontId="29" fillId="0" borderId="87" xfId="0" applyFont="1" applyFill="1" applyBorder="1" applyAlignment="1">
      <alignment horizontal="left" vertical="center"/>
    </xf>
    <xf numFmtId="0" fontId="29" fillId="0" borderId="90" xfId="0" applyFont="1" applyFill="1" applyBorder="1" applyAlignment="1">
      <alignment horizontal="left" vertical="center" indent="1"/>
    </xf>
    <xf numFmtId="0" fontId="29" fillId="0" borderId="91" xfId="0" applyFont="1" applyFill="1" applyBorder="1" applyAlignment="1">
      <alignment horizontal="left" vertical="center" indent="1"/>
    </xf>
    <xf numFmtId="0" fontId="29" fillId="0" borderId="90" xfId="0" applyFont="1" applyFill="1" applyBorder="1" applyAlignment="1">
      <alignment horizontal="left" vertical="center"/>
    </xf>
    <xf numFmtId="164" fontId="44" fillId="0" borderId="87" xfId="0" applyNumberFormat="1" applyFont="1" applyFill="1" applyBorder="1" applyAlignment="1">
      <alignment horizontal="right" vertical="center" indent="1"/>
    </xf>
    <xf numFmtId="0" fontId="34" fillId="0" borderId="100" xfId="0" applyFont="1" applyFill="1" applyBorder="1" applyAlignment="1">
      <alignment horizontal="center" vertical="center"/>
    </xf>
    <xf numFmtId="0" fontId="34" fillId="0" borderId="100" xfId="0" applyFont="1" applyFill="1" applyBorder="1" applyAlignment="1">
      <alignment vertical="center"/>
    </xf>
    <xf numFmtId="0" fontId="34" fillId="0" borderId="101" xfId="0" applyFont="1" applyFill="1" applyBorder="1" applyAlignment="1">
      <alignment horizontal="center" vertical="center"/>
    </xf>
    <xf numFmtId="0" fontId="34" fillId="15" borderId="101" xfId="0" applyFont="1" applyFill="1" applyBorder="1" applyAlignment="1" applyProtection="1">
      <alignment horizontal="center" vertical="center"/>
      <protection locked="0"/>
    </xf>
    <xf numFmtId="0" fontId="34" fillId="0" borderId="102" xfId="0" applyFont="1" applyFill="1" applyBorder="1" applyAlignment="1">
      <alignment horizontal="left" vertical="center" indent="1"/>
    </xf>
    <xf numFmtId="0" fontId="34" fillId="0" borderId="100" xfId="0" applyFont="1" applyFill="1" applyBorder="1" applyAlignment="1">
      <alignment horizontal="left" vertical="center" indent="1"/>
    </xf>
    <xf numFmtId="0" fontId="34" fillId="0" borderId="103" xfId="0" applyFont="1" applyFill="1" applyBorder="1" applyAlignment="1">
      <alignment horizontal="left" vertical="center" indent="1"/>
    </xf>
    <xf numFmtId="164" fontId="34" fillId="0" borderId="101" xfId="3" applyNumberFormat="1" applyFont="1" applyFill="1" applyBorder="1" applyAlignment="1">
      <alignment horizontal="right" vertical="center" indent="1"/>
    </xf>
    <xf numFmtId="164" fontId="34" fillId="0" borderId="101" xfId="0" applyNumberFormat="1" applyFont="1" applyBorder="1" applyAlignment="1">
      <alignment horizontal="right" vertical="center" indent="1"/>
    </xf>
    <xf numFmtId="0" fontId="34" fillId="0" borderId="104" xfId="0" applyFont="1" applyFill="1" applyBorder="1" applyAlignment="1">
      <alignment horizontal="center" vertical="center"/>
    </xf>
    <xf numFmtId="0" fontId="34" fillId="0" borderId="104" xfId="0" applyFont="1" applyFill="1" applyBorder="1" applyAlignment="1">
      <alignment vertical="center"/>
    </xf>
    <xf numFmtId="0" fontId="34" fillId="0" borderId="80" xfId="0" applyFont="1" applyFill="1" applyBorder="1" applyAlignment="1">
      <alignment horizontal="center" vertical="center"/>
    </xf>
    <xf numFmtId="0" fontId="34" fillId="15" borderId="80" xfId="0" applyFont="1" applyFill="1" applyBorder="1" applyAlignment="1" applyProtection="1">
      <alignment horizontal="center" vertical="center"/>
      <protection locked="0"/>
    </xf>
    <xf numFmtId="0" fontId="34" fillId="0" borderId="105" xfId="0" applyFont="1" applyFill="1" applyBorder="1" applyAlignment="1">
      <alignment horizontal="left" vertical="center" wrapText="1" indent="1"/>
    </xf>
    <xf numFmtId="0" fontId="34" fillId="0" borderId="104" xfId="0" applyFont="1" applyFill="1" applyBorder="1" applyAlignment="1">
      <alignment horizontal="left" vertical="center" wrapText="1" indent="1"/>
    </xf>
    <xf numFmtId="0" fontId="34" fillId="0" borderId="106" xfId="0" applyFont="1" applyFill="1" applyBorder="1" applyAlignment="1">
      <alignment horizontal="left" vertical="center" wrapText="1" indent="1"/>
    </xf>
    <xf numFmtId="0" fontId="34" fillId="15" borderId="80" xfId="0" applyFont="1" applyFill="1" applyBorder="1" applyAlignment="1" applyProtection="1">
      <alignment horizontal="left" vertical="center" wrapText="1" indent="1"/>
      <protection locked="0"/>
    </xf>
    <xf numFmtId="0" fontId="34" fillId="15" borderId="105" xfId="0" applyFont="1" applyFill="1" applyBorder="1" applyAlignment="1" applyProtection="1">
      <alignment horizontal="left" vertical="center" indent="1"/>
      <protection locked="0"/>
    </xf>
    <xf numFmtId="164" fontId="34" fillId="0" borderId="80" xfId="3" applyNumberFormat="1" applyFont="1" applyFill="1" applyBorder="1" applyAlignment="1">
      <alignment horizontal="right" vertical="center" indent="1"/>
    </xf>
    <xf numFmtId="164" fontId="34" fillId="0" borderId="80" xfId="0" applyNumberFormat="1" applyFont="1" applyBorder="1" applyAlignment="1">
      <alignment horizontal="right" vertical="center" indent="1"/>
    </xf>
    <xf numFmtId="0" fontId="7" fillId="13" borderId="0" xfId="0" applyFont="1" applyFill="1" applyBorder="1"/>
    <xf numFmtId="0" fontId="3" fillId="13" borderId="0" xfId="0" quotePrefix="1" applyFont="1" applyFill="1" applyAlignment="1">
      <alignment horizontal="right" textRotation="90"/>
    </xf>
    <xf numFmtId="0" fontId="8" fillId="15" borderId="108" xfId="0" applyFont="1" applyFill="1" applyBorder="1" applyAlignment="1" applyProtection="1">
      <alignment horizontal="left" vertical="center" indent="1"/>
      <protection locked="0"/>
    </xf>
    <xf numFmtId="0" fontId="8" fillId="15" borderId="77" xfId="0" applyFont="1" applyFill="1" applyBorder="1" applyAlignment="1" applyProtection="1">
      <alignment horizontal="left" vertical="center" indent="1"/>
      <protection locked="0"/>
    </xf>
    <xf numFmtId="0" fontId="8" fillId="0" borderId="76" xfId="0" applyFont="1" applyFill="1" applyBorder="1" applyAlignment="1">
      <alignment horizontal="center" vertical="center"/>
    </xf>
    <xf numFmtId="0" fontId="34" fillId="0" borderId="62" xfId="0" applyFont="1" applyFill="1" applyBorder="1" applyAlignment="1">
      <alignment horizontal="center" vertical="center"/>
    </xf>
    <xf numFmtId="0" fontId="34" fillId="0" borderId="76" xfId="0" quotePrefix="1" applyFont="1" applyFill="1" applyBorder="1" applyAlignment="1">
      <alignment horizontal="left" vertical="center"/>
    </xf>
    <xf numFmtId="0" fontId="8" fillId="0" borderId="76" xfId="0" quotePrefix="1" applyFont="1" applyBorder="1" applyAlignment="1">
      <alignment horizontal="left" vertical="center"/>
    </xf>
    <xf numFmtId="0" fontId="8" fillId="0" borderId="76" xfId="0" quotePrefix="1" applyFont="1" applyFill="1" applyBorder="1" applyAlignment="1">
      <alignment horizontal="left" vertical="center"/>
    </xf>
    <xf numFmtId="0" fontId="34" fillId="0" borderId="62" xfId="0" applyFont="1" applyFill="1" applyBorder="1" applyAlignment="1">
      <alignment vertical="center"/>
    </xf>
    <xf numFmtId="0" fontId="34" fillId="0" borderId="134" xfId="0" applyFont="1" applyFill="1" applyBorder="1" applyAlignment="1">
      <alignment horizontal="center" vertical="center"/>
    </xf>
    <xf numFmtId="0" fontId="34" fillId="0" borderId="134" xfId="0" applyFont="1" applyBorder="1" applyAlignment="1">
      <alignment horizontal="center" vertical="center"/>
    </xf>
    <xf numFmtId="0" fontId="34" fillId="0" borderId="135" xfId="0" applyFont="1" applyFill="1" applyBorder="1" applyAlignment="1">
      <alignment horizontal="left" vertical="center" indent="1"/>
    </xf>
    <xf numFmtId="0" fontId="34" fillId="0" borderId="62" xfId="0" applyFont="1" applyFill="1" applyBorder="1" applyAlignment="1">
      <alignment horizontal="left" vertical="center" indent="1"/>
    </xf>
    <xf numFmtId="0" fontId="34" fillId="0" borderId="136" xfId="0" applyFont="1" applyFill="1" applyBorder="1" applyAlignment="1">
      <alignment horizontal="left" vertical="center" indent="1"/>
    </xf>
    <xf numFmtId="0" fontId="34" fillId="0" borderId="134" xfId="0" applyFont="1" applyFill="1" applyBorder="1" applyAlignment="1" applyProtection="1">
      <alignment horizontal="left" vertical="center" indent="1"/>
      <protection locked="0"/>
    </xf>
    <xf numFmtId="164" fontId="34" fillId="0" borderId="134" xfId="3" applyNumberFormat="1" applyFont="1" applyFill="1" applyBorder="1" applyAlignment="1">
      <alignment horizontal="right" vertical="center" indent="1"/>
    </xf>
    <xf numFmtId="164" fontId="34" fillId="0" borderId="46" xfId="0" applyNumberFormat="1" applyFont="1" applyBorder="1" applyAlignment="1">
      <alignment horizontal="right" vertical="center" indent="1"/>
    </xf>
    <xf numFmtId="165" fontId="34" fillId="0" borderId="62" xfId="3" applyFont="1" applyFill="1" applyBorder="1" applyAlignment="1">
      <alignment horizontal="left" vertical="center" indent="1"/>
    </xf>
    <xf numFmtId="0" fontId="8" fillId="0" borderId="76" xfId="0" applyFont="1" applyFill="1" applyBorder="1" applyAlignment="1">
      <alignment vertical="center" wrapText="1"/>
    </xf>
    <xf numFmtId="0" fontId="26" fillId="0" borderId="81" xfId="0" applyFont="1" applyFill="1" applyBorder="1" applyAlignment="1">
      <alignment horizontal="center" vertical="center"/>
    </xf>
    <xf numFmtId="0" fontId="8" fillId="15" borderId="76" xfId="0" applyFont="1" applyFill="1" applyBorder="1" applyAlignment="1" applyProtection="1">
      <alignment horizontal="center" vertical="center"/>
      <protection locked="0"/>
    </xf>
    <xf numFmtId="0" fontId="21" fillId="15" borderId="77" xfId="0" applyFont="1" applyFill="1" applyBorder="1" applyAlignment="1" applyProtection="1">
      <alignment horizontal="left" vertical="center" wrapText="1" indent="1"/>
      <protection locked="0"/>
    </xf>
    <xf numFmtId="0" fontId="8" fillId="0" borderId="137" xfId="0" applyFont="1" applyBorder="1" applyAlignment="1">
      <alignment horizontal="left" vertical="center" wrapText="1" indent="1"/>
    </xf>
    <xf numFmtId="0" fontId="8" fillId="0" borderId="138" xfId="0" applyFont="1" applyBorder="1" applyAlignment="1">
      <alignment horizontal="left" vertical="center" wrapText="1" indent="1"/>
    </xf>
    <xf numFmtId="0" fontId="8" fillId="0" borderId="139" xfId="0" applyFont="1" applyBorder="1" applyAlignment="1">
      <alignment horizontal="left" vertical="center" indent="1"/>
    </xf>
    <xf numFmtId="0" fontId="0" fillId="0" borderId="0" xfId="0" applyFill="1" applyBorder="1"/>
    <xf numFmtId="0" fontId="11" fillId="0" borderId="0" xfId="1" applyFill="1" applyBorder="1"/>
    <xf numFmtId="0" fontId="11" fillId="0" borderId="0" xfId="1" quotePrefix="1" applyFill="1" applyBorder="1" applyAlignment="1">
      <alignment horizontal="left"/>
    </xf>
    <xf numFmtId="0" fontId="4" fillId="15" borderId="60" xfId="0" applyFont="1" applyFill="1" applyBorder="1"/>
    <xf numFmtId="0" fontId="4" fillId="15" borderId="61" xfId="0" applyFont="1" applyFill="1" applyBorder="1"/>
    <xf numFmtId="0" fontId="4" fillId="15" borderId="62" xfId="0" applyFont="1" applyFill="1" applyBorder="1"/>
    <xf numFmtId="0" fontId="0" fillId="4" borderId="0" xfId="0" applyFont="1" applyFill="1"/>
    <xf numFmtId="0" fontId="0" fillId="0" borderId="140" xfId="0" applyFill="1" applyBorder="1"/>
    <xf numFmtId="0" fontId="0" fillId="0" borderId="61" xfId="0" applyFont="1" applyFill="1" applyBorder="1"/>
    <xf numFmtId="0" fontId="0" fillId="0" borderId="62" xfId="0" applyFill="1" applyBorder="1"/>
    <xf numFmtId="164" fontId="34" fillId="0" borderId="109" xfId="0" applyNumberFormat="1" applyFont="1" applyBorder="1" applyAlignment="1">
      <alignment horizontal="right" vertical="center"/>
    </xf>
    <xf numFmtId="164" fontId="34" fillId="0" borderId="114" xfId="0" applyNumberFormat="1" applyFont="1" applyBorder="1" applyAlignment="1">
      <alignment horizontal="right" vertical="center"/>
    </xf>
    <xf numFmtId="164" fontId="34" fillId="0" borderId="116" xfId="0" applyNumberFormat="1" applyFont="1" applyBorder="1" applyAlignment="1">
      <alignment horizontal="right" vertical="center"/>
    </xf>
    <xf numFmtId="164" fontId="34" fillId="0" borderId="118" xfId="0" applyNumberFormat="1" applyFont="1" applyBorder="1" applyAlignment="1">
      <alignment horizontal="right" vertical="center"/>
    </xf>
    <xf numFmtId="164" fontId="23" fillId="0" borderId="0" xfId="0" applyNumberFormat="1" applyFont="1" applyFill="1"/>
    <xf numFmtId="164" fontId="23" fillId="0" borderId="140" xfId="0" applyNumberFormat="1" applyFont="1" applyFill="1" applyBorder="1"/>
    <xf numFmtId="164" fontId="23" fillId="0" borderId="61" xfId="0" applyNumberFormat="1" applyFont="1" applyFill="1" applyBorder="1"/>
    <xf numFmtId="164" fontId="23" fillId="0" borderId="62" xfId="0" applyNumberFormat="1" applyFont="1" applyFill="1" applyBorder="1"/>
    <xf numFmtId="164" fontId="23" fillId="0" borderId="57" xfId="0" applyNumberFormat="1" applyFont="1" applyFill="1" applyBorder="1"/>
    <xf numFmtId="164" fontId="23" fillId="0" borderId="58" xfId="0" quotePrefix="1" applyNumberFormat="1" applyFont="1" applyFill="1" applyBorder="1" applyAlignment="1">
      <alignment horizontal="left"/>
    </xf>
    <xf numFmtId="164" fontId="23" fillId="0" borderId="59" xfId="0" quotePrefix="1" applyNumberFormat="1" applyFont="1" applyFill="1" applyBorder="1" applyAlignment="1">
      <alignment horizontal="left"/>
    </xf>
    <xf numFmtId="0" fontId="8" fillId="0" borderId="0" xfId="0" quotePrefix="1" applyFont="1" applyFill="1" applyAlignment="1">
      <alignment horizontal="left" vertical="center"/>
    </xf>
    <xf numFmtId="0" fontId="8" fillId="15" borderId="122" xfId="0" applyFont="1" applyFill="1" applyBorder="1" applyAlignment="1" applyProtection="1">
      <alignment horizontal="left" vertical="center" indent="1"/>
      <protection locked="0"/>
    </xf>
    <xf numFmtId="0" fontId="8" fillId="15" borderId="120" xfId="0" applyFont="1" applyFill="1" applyBorder="1" applyAlignment="1" applyProtection="1">
      <alignment horizontal="left" vertical="center" indent="1"/>
      <protection locked="0"/>
    </xf>
    <xf numFmtId="164" fontId="8" fillId="0" borderId="141" xfId="3" applyNumberFormat="1" applyFont="1" applyFill="1" applyBorder="1" applyAlignment="1">
      <alignment horizontal="right" vertical="center" indent="1"/>
    </xf>
    <xf numFmtId="164" fontId="8" fillId="0" borderId="142" xfId="3" applyNumberFormat="1" applyFont="1" applyFill="1" applyBorder="1" applyAlignment="1">
      <alignment horizontal="right" vertical="center" indent="1"/>
    </xf>
    <xf numFmtId="164" fontId="8" fillId="0" borderId="77" xfId="3" applyNumberFormat="1" applyFont="1" applyFill="1" applyBorder="1" applyAlignment="1">
      <alignment horizontal="right" vertical="center" wrapText="1" indent="1"/>
    </xf>
    <xf numFmtId="0" fontId="34" fillId="15" borderId="101" xfId="0" applyFont="1" applyFill="1" applyBorder="1" applyAlignment="1" applyProtection="1">
      <alignment horizontal="left" vertical="center" indent="1"/>
      <protection locked="0"/>
    </xf>
    <xf numFmtId="0" fontId="0" fillId="15" borderId="143" xfId="0" applyFill="1" applyBorder="1"/>
    <xf numFmtId="0" fontId="0" fillId="0" borderId="143" xfId="0" applyFill="1" applyBorder="1"/>
    <xf numFmtId="164" fontId="23" fillId="0" borderId="143" xfId="0" applyNumberFormat="1" applyFont="1" applyFill="1" applyBorder="1" applyAlignment="1">
      <alignment horizontal="right"/>
    </xf>
    <xf numFmtId="0" fontId="0" fillId="15" borderId="0" xfId="0" applyFill="1" applyBorder="1"/>
    <xf numFmtId="164" fontId="23" fillId="0" borderId="0" xfId="0" applyNumberFormat="1" applyFont="1" applyFill="1" applyBorder="1"/>
    <xf numFmtId="0" fontId="0" fillId="15" borderId="0" xfId="0" quotePrefix="1" applyFill="1" applyBorder="1"/>
    <xf numFmtId="164" fontId="23" fillId="0" borderId="0" xfId="1" applyNumberFormat="1" applyFont="1" applyFill="1" applyBorder="1"/>
    <xf numFmtId="0" fontId="0" fillId="15" borderId="144" xfId="0" applyFill="1" applyBorder="1"/>
    <xf numFmtId="0" fontId="11" fillId="0" borderId="144" xfId="1" applyFill="1" applyBorder="1"/>
    <xf numFmtId="164" fontId="23" fillId="0" borderId="144" xfId="1" applyNumberFormat="1" applyFont="1" applyFill="1" applyBorder="1"/>
    <xf numFmtId="0" fontId="0" fillId="15" borderId="145" xfId="0" applyFill="1" applyBorder="1"/>
    <xf numFmtId="0" fontId="11" fillId="0" borderId="145" xfId="1" applyFill="1" applyBorder="1"/>
    <xf numFmtId="164" fontId="23" fillId="0" borderId="145" xfId="1" applyNumberFormat="1" applyFont="1" applyFill="1" applyBorder="1"/>
    <xf numFmtId="0" fontId="0" fillId="15" borderId="146" xfId="0" applyFill="1" applyBorder="1"/>
    <xf numFmtId="0" fontId="0" fillId="0" borderId="146" xfId="0" applyFont="1" applyFill="1" applyBorder="1"/>
    <xf numFmtId="164" fontId="23" fillId="0" borderId="146" xfId="0" applyNumberFormat="1" applyFont="1" applyFill="1" applyBorder="1"/>
    <xf numFmtId="0" fontId="0" fillId="15" borderId="147" xfId="0" applyFill="1" applyBorder="1"/>
    <xf numFmtId="0" fontId="0" fillId="0" borderId="147" xfId="0" applyFill="1" applyBorder="1"/>
    <xf numFmtId="164" fontId="23" fillId="0" borderId="147" xfId="0" applyNumberFormat="1" applyFont="1" applyFill="1" applyBorder="1"/>
    <xf numFmtId="0" fontId="11" fillId="15" borderId="0" xfId="1" applyFill="1" applyProtection="1">
      <protection locked="0"/>
    </xf>
    <xf numFmtId="0" fontId="11" fillId="15" borderId="0" xfId="1" quotePrefix="1" applyFill="1" applyAlignment="1" applyProtection="1">
      <alignment horizontal="left"/>
      <protection locked="0"/>
    </xf>
    <xf numFmtId="0" fontId="11" fillId="0" borderId="0" xfId="1" applyFill="1" applyProtection="1">
      <protection locked="0"/>
    </xf>
    <xf numFmtId="0" fontId="11" fillId="0" borderId="0" xfId="1" quotePrefix="1" applyFill="1" applyAlignment="1" applyProtection="1">
      <alignment horizontal="left"/>
      <protection locked="0"/>
    </xf>
    <xf numFmtId="0" fontId="12" fillId="0" borderId="0" xfId="1" quotePrefix="1" applyFont="1" applyAlignment="1" applyProtection="1">
      <alignment horizontal="right" vertical="top"/>
      <protection locked="0"/>
    </xf>
    <xf numFmtId="0" fontId="3" fillId="4" borderId="0" xfId="0" applyFont="1" applyFill="1" applyAlignment="1">
      <alignment horizontal="center" vertical="top" textRotation="90"/>
    </xf>
    <xf numFmtId="0" fontId="3" fillId="4" borderId="0" xfId="0" applyFont="1" applyFill="1" applyAlignment="1">
      <alignment horizontal="right" textRotation="90"/>
    </xf>
    <xf numFmtId="0" fontId="3" fillId="4" borderId="0" xfId="0" applyFont="1" applyFill="1" applyAlignment="1">
      <alignment horizontal="right" vertical="top" textRotation="90"/>
    </xf>
    <xf numFmtId="0" fontId="8" fillId="0" borderId="76" xfId="0" applyFont="1" applyFill="1" applyBorder="1" applyAlignment="1">
      <alignment horizontal="center" vertical="center"/>
    </xf>
    <xf numFmtId="0" fontId="7" fillId="0" borderId="76" xfId="0" applyFont="1" applyBorder="1" applyAlignment="1">
      <alignment horizontal="left" vertical="center" wrapText="1" indent="1"/>
    </xf>
    <xf numFmtId="0" fontId="8" fillId="15" borderId="77" xfId="0" applyFont="1" applyFill="1" applyBorder="1" applyAlignment="1" applyProtection="1">
      <alignment horizontal="left" vertical="center" indent="1"/>
      <protection locked="0"/>
    </xf>
    <xf numFmtId="0" fontId="3" fillId="13" borderId="0" xfId="0" quotePrefix="1" applyFont="1" applyFill="1" applyAlignment="1">
      <alignment horizontal="right" textRotation="90"/>
    </xf>
    <xf numFmtId="0" fontId="3" fillId="13" borderId="0" xfId="0" applyFont="1" applyFill="1" applyAlignment="1">
      <alignment textRotation="90"/>
    </xf>
    <xf numFmtId="0" fontId="34" fillId="0" borderId="76" xfId="0" applyFont="1" applyFill="1" applyBorder="1" applyAlignment="1">
      <alignment horizontal="left" vertical="center" wrapText="1" indent="1"/>
    </xf>
    <xf numFmtId="0" fontId="34" fillId="0" borderId="76" xfId="0" applyFont="1" applyFill="1" applyBorder="1" applyAlignment="1">
      <alignment horizontal="left" vertical="center" indent="1"/>
    </xf>
    <xf numFmtId="0" fontId="8" fillId="15" borderId="108" xfId="0" applyFont="1" applyFill="1" applyBorder="1" applyAlignment="1" applyProtection="1">
      <alignment horizontal="left" vertical="center" indent="1"/>
      <protection locked="0"/>
    </xf>
    <xf numFmtId="0" fontId="8" fillId="0" borderId="107" xfId="0" applyFont="1" applyFill="1" applyBorder="1" applyAlignment="1">
      <alignment horizontal="center" vertical="center"/>
    </xf>
    <xf numFmtId="0" fontId="7" fillId="0" borderId="92" xfId="0" applyFont="1" applyBorder="1" applyAlignment="1">
      <alignment horizontal="left" vertical="center" wrapText="1" indent="1"/>
    </xf>
    <xf numFmtId="0" fontId="34" fillId="0" borderId="92" xfId="0" applyFont="1" applyFill="1" applyBorder="1" applyAlignment="1">
      <alignment horizontal="left" vertical="center" wrapText="1" indent="1"/>
    </xf>
    <xf numFmtId="0" fontId="8" fillId="0" borderId="76" xfId="0" applyFont="1" applyFill="1" applyBorder="1" applyAlignment="1">
      <alignment horizontal="left" vertical="center" indent="1"/>
    </xf>
    <xf numFmtId="0" fontId="8" fillId="0" borderId="107" xfId="0" applyFont="1" applyFill="1" applyBorder="1" applyAlignment="1">
      <alignment horizontal="left" vertical="center" indent="1"/>
    </xf>
    <xf numFmtId="0" fontId="3" fillId="13" borderId="0" xfId="0" quotePrefix="1" applyFont="1" applyFill="1" applyAlignment="1">
      <alignment horizontal="right" vertical="top" textRotation="90"/>
    </xf>
    <xf numFmtId="0" fontId="3" fillId="13" borderId="0" xfId="0" applyFont="1" applyFill="1" applyAlignment="1">
      <alignment horizontal="right" vertical="top" textRotation="90"/>
    </xf>
    <xf numFmtId="0" fontId="3" fillId="13" borderId="133" xfId="0" quotePrefix="1" applyFont="1" applyFill="1" applyBorder="1" applyAlignment="1">
      <alignment horizontal="right" textRotation="90"/>
    </xf>
    <xf numFmtId="0" fontId="34" fillId="0" borderId="76" xfId="0" applyFont="1" applyFill="1" applyBorder="1" applyAlignment="1">
      <alignment horizontal="center" vertical="center"/>
    </xf>
    <xf numFmtId="0" fontId="34" fillId="0" borderId="78" xfId="0" applyFont="1" applyFill="1" applyBorder="1" applyAlignment="1">
      <alignment horizontal="left" vertical="center" indent="1"/>
    </xf>
    <xf numFmtId="0" fontId="3" fillId="13" borderId="0" xfId="0" applyFont="1" applyFill="1" applyAlignment="1">
      <alignment horizontal="right" textRotation="90"/>
    </xf>
    <xf numFmtId="0" fontId="3" fillId="13" borderId="133" xfId="0" applyFont="1" applyFill="1" applyBorder="1" applyAlignment="1">
      <alignment horizontal="right" textRotation="90"/>
    </xf>
    <xf numFmtId="0" fontId="34" fillId="0" borderId="79" xfId="0" applyFont="1" applyBorder="1" applyAlignment="1">
      <alignment horizontal="left" vertical="center" wrapText="1" indent="1"/>
    </xf>
    <xf numFmtId="0" fontId="34" fillId="15" borderId="77" xfId="0" applyFont="1" applyFill="1" applyBorder="1" applyAlignment="1" applyProtection="1">
      <alignment horizontal="left" vertical="center" indent="1"/>
      <protection locked="0"/>
    </xf>
    <xf numFmtId="0" fontId="34" fillId="0" borderId="92" xfId="0" applyFont="1" applyFill="1" applyBorder="1" applyAlignment="1">
      <alignment horizontal="center" vertical="center"/>
    </xf>
    <xf numFmtId="0" fontId="34" fillId="0" borderId="94" xfId="0" applyFont="1" applyFill="1" applyBorder="1" applyAlignment="1">
      <alignment horizontal="left" vertical="center" indent="1"/>
    </xf>
    <xf numFmtId="0" fontId="34" fillId="0" borderId="95" xfId="0" applyFont="1" applyBorder="1" applyAlignment="1">
      <alignment horizontal="left" vertical="center" wrapText="1" indent="1"/>
    </xf>
    <xf numFmtId="0" fontId="34" fillId="15" borderId="93" xfId="0" applyFont="1" applyFill="1" applyBorder="1" applyAlignment="1" applyProtection="1">
      <alignment horizontal="left" vertical="center" indent="1"/>
      <protection locked="0"/>
    </xf>
    <xf numFmtId="0" fontId="3" fillId="9" borderId="0" xfId="0" quotePrefix="1" applyFont="1" applyFill="1" applyAlignment="1">
      <alignment horizontal="right" vertical="top" textRotation="90"/>
    </xf>
    <xf numFmtId="0" fontId="3" fillId="9" borderId="0" xfId="0" applyFont="1" applyFill="1" applyAlignment="1">
      <alignment horizontal="right" vertical="top" textRotation="90"/>
    </xf>
    <xf numFmtId="0" fontId="3" fillId="9" borderId="0" xfId="0" applyFont="1" applyFill="1" applyAlignment="1">
      <alignment horizontal="right" textRotation="90"/>
    </xf>
    <xf numFmtId="0" fontId="3" fillId="11" borderId="0" xfId="0" applyFont="1" applyFill="1" applyAlignment="1">
      <alignment horizontal="right" textRotation="90"/>
    </xf>
    <xf numFmtId="0" fontId="3" fillId="11" borderId="0" xfId="0" quotePrefix="1" applyFont="1" applyFill="1" applyAlignment="1">
      <alignment horizontal="right" vertical="top" textRotation="90"/>
    </xf>
    <xf numFmtId="0" fontId="3" fillId="11" borderId="0" xfId="0" applyFont="1" applyFill="1" applyAlignment="1">
      <alignment horizontal="right" vertical="top" textRotation="90"/>
    </xf>
    <xf numFmtId="0" fontId="3" fillId="7" borderId="0" xfId="0" quotePrefix="1" applyFont="1" applyFill="1" applyAlignment="1">
      <alignment horizontal="right" vertical="top" textRotation="90"/>
    </xf>
    <xf numFmtId="0" fontId="3" fillId="7" borderId="0" xfId="0" applyFont="1" applyFill="1" applyAlignment="1">
      <alignment horizontal="right" vertical="top" textRotation="90"/>
    </xf>
    <xf numFmtId="0" fontId="3" fillId="7" borderId="0" xfId="0" applyFont="1" applyFill="1" applyAlignment="1">
      <alignment horizontal="right" textRotation="90"/>
    </xf>
    <xf numFmtId="0" fontId="3" fillId="7" borderId="0" xfId="0" quotePrefix="1" applyFont="1" applyFill="1" applyAlignment="1">
      <alignment horizontal="right" textRotation="90"/>
    </xf>
    <xf numFmtId="0" fontId="3" fillId="5" borderId="0" xfId="0" applyFont="1" applyFill="1" applyAlignment="1">
      <alignment horizontal="right" vertical="top" textRotation="90"/>
    </xf>
    <xf numFmtId="0" fontId="3" fillId="5" borderId="0" xfId="0" applyFont="1" applyFill="1" applyAlignment="1">
      <alignment horizontal="right" textRotation="90"/>
    </xf>
    <xf numFmtId="0" fontId="8" fillId="6" borderId="0" xfId="0" applyFont="1" applyFill="1" applyAlignment="1">
      <alignment vertical="center" wrapText="1"/>
    </xf>
    <xf numFmtId="0" fontId="8" fillId="6" borderId="0" xfId="0" quotePrefix="1" applyFont="1" applyFill="1" applyAlignment="1">
      <alignment horizontal="left" vertical="center" wrapText="1"/>
    </xf>
    <xf numFmtId="0" fontId="3" fillId="2" borderId="0" xfId="0" applyFont="1" applyFill="1" applyAlignment="1">
      <alignment horizontal="right" vertical="top" textRotation="90"/>
    </xf>
    <xf numFmtId="0" fontId="3" fillId="2" borderId="0" xfId="0" applyFont="1" applyFill="1" applyAlignment="1">
      <alignment horizontal="right" textRotation="90"/>
    </xf>
    <xf numFmtId="0" fontId="3" fillId="4" borderId="0" xfId="0" quotePrefix="1" applyFont="1" applyFill="1" applyAlignment="1">
      <alignment horizontal="center" vertical="top" textRotation="90"/>
    </xf>
  </cellXfs>
  <cellStyles count="4">
    <cellStyle name="Currency 2" xfId="2"/>
    <cellStyle name="Currency 3" xfId="3"/>
    <cellStyle name="Hyperlink" xfId="1" builtinId="8"/>
    <cellStyle name="Normal" xfId="0" builtinId="0"/>
  </cellStyles>
  <dxfs count="34">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50C08B"/>
      <color rgb="FFFDEB03"/>
      <color rgb="FF03BADF"/>
      <color rgb="FFDB63F3"/>
      <color rgb="FF626694"/>
      <color rgb="FFC7EBDA"/>
      <color rgb="FFFFFCD1"/>
      <color rgb="FFDDF9FF"/>
      <color rgb="FFF5D4FC"/>
      <color rgb="FFD7D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8.jpg"/><Relationship Id="rId2" Type="http://schemas.openxmlformats.org/officeDocument/2006/relationships/image" Target="../media/image37.png"/><Relationship Id="rId1" Type="http://schemas.openxmlformats.org/officeDocument/2006/relationships/image" Target="../media/image2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1.png"/><Relationship Id="rId1" Type="http://schemas.openxmlformats.org/officeDocument/2006/relationships/image" Target="../media/image21.png"/><Relationship Id="rId6" Type="http://schemas.openxmlformats.org/officeDocument/2006/relationships/image" Target="../media/image42.png"/><Relationship Id="rId5" Type="http://schemas.openxmlformats.org/officeDocument/2006/relationships/image" Target="../media/image41.png"/><Relationship Id="rId4" Type="http://schemas.openxmlformats.org/officeDocument/2006/relationships/image" Target="../media/image4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3.png"/><Relationship Id="rId7" Type="http://schemas.openxmlformats.org/officeDocument/2006/relationships/image" Target="../media/image47.jpg"/><Relationship Id="rId2" Type="http://schemas.openxmlformats.org/officeDocument/2006/relationships/image" Target="../media/image1.png"/><Relationship Id="rId1" Type="http://schemas.openxmlformats.org/officeDocument/2006/relationships/image" Target="../media/image21.png"/><Relationship Id="rId6" Type="http://schemas.openxmlformats.org/officeDocument/2006/relationships/image" Target="../media/image46.jpg"/><Relationship Id="rId5" Type="http://schemas.openxmlformats.org/officeDocument/2006/relationships/image" Target="../media/image45.jpg"/><Relationship Id="rId4" Type="http://schemas.openxmlformats.org/officeDocument/2006/relationships/image" Target="../media/image4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18" Type="http://schemas.openxmlformats.org/officeDocument/2006/relationships/image" Target="../media/image64.png"/><Relationship Id="rId3" Type="http://schemas.openxmlformats.org/officeDocument/2006/relationships/image" Target="../media/image49.png"/><Relationship Id="rId7" Type="http://schemas.openxmlformats.org/officeDocument/2006/relationships/image" Target="../media/image53.png"/><Relationship Id="rId12" Type="http://schemas.openxmlformats.org/officeDocument/2006/relationships/image" Target="../media/image58.png"/><Relationship Id="rId17" Type="http://schemas.openxmlformats.org/officeDocument/2006/relationships/image" Target="../media/image63.png"/><Relationship Id="rId2" Type="http://schemas.openxmlformats.org/officeDocument/2006/relationships/image" Target="../media/image48.jpg"/><Relationship Id="rId16"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5" Type="http://schemas.openxmlformats.org/officeDocument/2006/relationships/image" Target="../media/image61.png"/><Relationship Id="rId10" Type="http://schemas.openxmlformats.org/officeDocument/2006/relationships/image" Target="../media/image56.png"/><Relationship Id="rId19" Type="http://schemas.openxmlformats.org/officeDocument/2006/relationships/image" Target="../media/image65.png"/><Relationship Id="rId4" Type="http://schemas.openxmlformats.org/officeDocument/2006/relationships/image" Target="../media/image50.png"/><Relationship Id="rId9" Type="http://schemas.openxmlformats.org/officeDocument/2006/relationships/image" Target="../media/image55.png"/><Relationship Id="rId14" Type="http://schemas.openxmlformats.org/officeDocument/2006/relationships/image" Target="../media/image60.png"/></Relationships>
</file>

<file path=xl/drawings/_rels/drawing14.xml.rels><?xml version="1.0" encoding="UTF-8" standalone="yes"?>
<Relationships xmlns="http://schemas.openxmlformats.org/package/2006/relationships"><Relationship Id="rId8" Type="http://schemas.openxmlformats.org/officeDocument/2006/relationships/image" Target="../media/image71.png"/><Relationship Id="rId3" Type="http://schemas.openxmlformats.org/officeDocument/2006/relationships/image" Target="../media/image66.jpg"/><Relationship Id="rId7" Type="http://schemas.openxmlformats.org/officeDocument/2006/relationships/image" Target="../media/image70.jpg"/><Relationship Id="rId2" Type="http://schemas.openxmlformats.org/officeDocument/2006/relationships/image" Target="../media/image1.png"/><Relationship Id="rId1" Type="http://schemas.openxmlformats.org/officeDocument/2006/relationships/image" Target="../media/image21.png"/><Relationship Id="rId6" Type="http://schemas.openxmlformats.org/officeDocument/2006/relationships/image" Target="../media/image69.png"/><Relationship Id="rId5" Type="http://schemas.openxmlformats.org/officeDocument/2006/relationships/image" Target="../media/image68.jpg"/><Relationship Id="rId4" Type="http://schemas.openxmlformats.org/officeDocument/2006/relationships/image" Target="../media/image67.png"/></Relationships>
</file>

<file path=xl/drawings/_rels/drawing15.xml.rels><?xml version="1.0" encoding="UTF-8" standalone="yes"?>
<Relationships xmlns="http://schemas.openxmlformats.org/package/2006/relationships"><Relationship Id="rId8" Type="http://schemas.openxmlformats.org/officeDocument/2006/relationships/image" Target="../media/image77.png"/><Relationship Id="rId3" Type="http://schemas.openxmlformats.org/officeDocument/2006/relationships/image" Target="../media/image72.png"/><Relationship Id="rId7" Type="http://schemas.openxmlformats.org/officeDocument/2006/relationships/image" Target="../media/image76.png"/><Relationship Id="rId12" Type="http://schemas.openxmlformats.org/officeDocument/2006/relationships/image" Target="../media/image81.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5.png"/><Relationship Id="rId11" Type="http://schemas.openxmlformats.org/officeDocument/2006/relationships/image" Target="../media/image80.png"/><Relationship Id="rId5" Type="http://schemas.openxmlformats.org/officeDocument/2006/relationships/image" Target="../media/image74.png"/><Relationship Id="rId10" Type="http://schemas.openxmlformats.org/officeDocument/2006/relationships/image" Target="../media/image79.png"/><Relationship Id="rId4" Type="http://schemas.openxmlformats.org/officeDocument/2006/relationships/image" Target="../media/image73.png"/><Relationship Id="rId9" Type="http://schemas.openxmlformats.org/officeDocument/2006/relationships/image" Target="../media/image78.png"/></Relationships>
</file>

<file path=xl/drawings/_rels/drawing16.xml.rels><?xml version="1.0" encoding="UTF-8" standalone="yes"?>
<Relationships xmlns="http://schemas.openxmlformats.org/package/2006/relationships"><Relationship Id="rId8" Type="http://schemas.openxmlformats.org/officeDocument/2006/relationships/image" Target="../media/image87.png"/><Relationship Id="rId3" Type="http://schemas.openxmlformats.org/officeDocument/2006/relationships/image" Target="../media/image82.jpg"/><Relationship Id="rId7" Type="http://schemas.openxmlformats.org/officeDocument/2006/relationships/image" Target="../media/image86.jp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85.png"/><Relationship Id="rId5" Type="http://schemas.openxmlformats.org/officeDocument/2006/relationships/image" Target="../media/image84.jpg"/><Relationship Id="rId4" Type="http://schemas.openxmlformats.org/officeDocument/2006/relationships/image" Target="../media/image8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8.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91.png"/><Relationship Id="rId5" Type="http://schemas.openxmlformats.org/officeDocument/2006/relationships/image" Target="../media/image90.png"/><Relationship Id="rId4" Type="http://schemas.openxmlformats.org/officeDocument/2006/relationships/image" Target="../media/image89.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3.png"/><Relationship Id="rId2" Type="http://schemas.openxmlformats.org/officeDocument/2006/relationships/image" Target="../media/image92.jp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5.png"/><Relationship Id="rId2" Type="http://schemas.openxmlformats.org/officeDocument/2006/relationships/image" Target="../media/image9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jpg"/><Relationship Id="rId3" Type="http://schemas.openxmlformats.org/officeDocument/2006/relationships/image" Target="../media/image5.jpeg"/><Relationship Id="rId7" Type="http://schemas.openxmlformats.org/officeDocument/2006/relationships/image" Target="../media/image9.jpg"/><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jpg"/><Relationship Id="rId10" Type="http://schemas.openxmlformats.org/officeDocument/2006/relationships/image" Target="../media/image12.jpeg"/><Relationship Id="rId4" Type="http://schemas.openxmlformats.org/officeDocument/2006/relationships/image" Target="../media/image6.png"/><Relationship Id="rId9"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20.jpg"/><Relationship Id="rId5" Type="http://schemas.openxmlformats.org/officeDocument/2006/relationships/image" Target="../media/image19.png"/><Relationship Id="rId4"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png"/><Relationship Id="rId1" Type="http://schemas.openxmlformats.org/officeDocument/2006/relationships/image" Target="../media/image21.png"/><Relationship Id="rId6" Type="http://schemas.openxmlformats.org/officeDocument/2006/relationships/image" Target="../media/image25.png"/><Relationship Id="rId5" Type="http://schemas.openxmlformats.org/officeDocument/2006/relationships/image" Target="../media/image24.jpg"/><Relationship Id="rId4" Type="http://schemas.openxmlformats.org/officeDocument/2006/relationships/image" Target="../media/image2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png"/><Relationship Id="rId1" Type="http://schemas.openxmlformats.org/officeDocument/2006/relationships/image" Target="../media/image21.png"/><Relationship Id="rId6" Type="http://schemas.openxmlformats.org/officeDocument/2006/relationships/image" Target="../media/image29.png"/><Relationship Id="rId5" Type="http://schemas.openxmlformats.org/officeDocument/2006/relationships/image" Target="../media/image28.png"/><Relationship Id="rId4" Type="http://schemas.openxmlformats.org/officeDocument/2006/relationships/image" Target="../media/image27.png"/></Relationships>
</file>

<file path=xl/drawings/_rels/drawing9.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1.png"/><Relationship Id="rId6" Type="http://schemas.openxmlformats.org/officeDocument/2006/relationships/image" Target="../media/image34.jpg"/><Relationship Id="rId5" Type="http://schemas.openxmlformats.org/officeDocument/2006/relationships/image" Target="../media/image33.png"/><Relationship Id="rId4"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oneCellAnchor>
    <xdr:from>
      <xdr:col>3</xdr:col>
      <xdr:colOff>0</xdr:colOff>
      <xdr:row>45</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2706" y="9233647"/>
          <a:ext cx="1827519" cy="50883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22</xdr:row>
      <xdr:rowOff>0</xdr:rowOff>
    </xdr:from>
    <xdr:to>
      <xdr:col>3</xdr:col>
      <xdr:colOff>1415143</xdr:colOff>
      <xdr:row>24</xdr:row>
      <xdr:rowOff>42673</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090660"/>
          <a:ext cx="1826623" cy="499872"/>
        </a:xfrm>
        <a:prstGeom prst="rect">
          <a:avLst/>
        </a:prstGeom>
      </xdr:spPr>
    </xdr:pic>
    <xdr:clientData/>
  </xdr:twoCellAnchor>
  <xdr:twoCellAnchor>
    <xdr:from>
      <xdr:col>6</xdr:col>
      <xdr:colOff>510540</xdr:colOff>
      <xdr:row>4</xdr:row>
      <xdr:rowOff>121920</xdr:rowOff>
    </xdr:from>
    <xdr:to>
      <xdr:col>9</xdr:col>
      <xdr:colOff>767596</xdr:colOff>
      <xdr:row>7</xdr:row>
      <xdr:rowOff>762000</xdr:rowOff>
    </xdr:to>
    <xdr:grpSp>
      <xdr:nvGrpSpPr>
        <xdr:cNvPr id="16" name="Group 15"/>
        <xdr:cNvGrpSpPr/>
      </xdr:nvGrpSpPr>
      <xdr:grpSpPr>
        <a:xfrm>
          <a:off x="4259580" y="1630680"/>
          <a:ext cx="3548896" cy="3383280"/>
          <a:chOff x="4762500" y="1630680"/>
          <a:chExt cx="3548896" cy="3383280"/>
        </a:xfrm>
      </xdr:grpSpPr>
      <xdr:pic>
        <xdr:nvPicPr>
          <xdr:cNvPr id="6" name="Picture 5"/>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5098591" y="2148840"/>
            <a:ext cx="2876715" cy="2743200"/>
          </a:xfrm>
          <a:prstGeom prst="rect">
            <a:avLst/>
          </a:prstGeom>
        </xdr:spPr>
      </xdr:pic>
      <xdr:sp macro="" textlink="">
        <xdr:nvSpPr>
          <xdr:cNvPr id="8" name="Rounded Rectangle 7"/>
          <xdr:cNvSpPr>
            <a:spLocks noChangeAspect="1"/>
          </xdr:cNvSpPr>
        </xdr:nvSpPr>
        <xdr:spPr>
          <a:xfrm>
            <a:off x="4762500" y="1630680"/>
            <a:ext cx="3548896" cy="3383280"/>
          </a:xfrm>
          <a:prstGeom prst="roundRect">
            <a:avLst/>
          </a:prstGeom>
          <a:noFill/>
          <a:ln w="19050">
            <a:solidFill>
              <a:srgbClr val="DB63F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DB63F3"/>
                </a:solidFill>
                <a:latin typeface="Tw Cen MT" panose="020B0602020104020603" pitchFamily="34" charset="0"/>
              </a:rPr>
              <a:t>PLAN VIEW</a:t>
            </a:r>
          </a:p>
        </xdr:txBody>
      </xdr:sp>
    </xdr:grpSp>
    <xdr:clientData/>
  </xdr:twoCellAnchor>
  <xdr:twoCellAnchor>
    <xdr:from>
      <xdr:col>2</xdr:col>
      <xdr:colOff>396239</xdr:colOff>
      <xdr:row>4</xdr:row>
      <xdr:rowOff>121920</xdr:rowOff>
    </xdr:from>
    <xdr:to>
      <xdr:col>6</xdr:col>
      <xdr:colOff>366859</xdr:colOff>
      <xdr:row>7</xdr:row>
      <xdr:rowOff>762000</xdr:rowOff>
    </xdr:to>
    <xdr:sp macro="" textlink="">
      <xdr:nvSpPr>
        <xdr:cNvPr id="5" name="Rounded Rectangle 4"/>
        <xdr:cNvSpPr>
          <a:spLocks noChangeAspect="1"/>
        </xdr:cNvSpPr>
      </xdr:nvSpPr>
      <xdr:spPr>
        <a:xfrm>
          <a:off x="982979" y="1630680"/>
          <a:ext cx="3132920" cy="3383280"/>
        </a:xfrm>
        <a:prstGeom prst="roundRect">
          <a:avLst/>
        </a:prstGeom>
        <a:blipFill>
          <a:blip xmlns:r="http://schemas.openxmlformats.org/officeDocument/2006/relationships" r:embed="rId3"/>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0</xdr:colOff>
      <xdr:row>5</xdr:row>
      <xdr:rowOff>332417</xdr:rowOff>
    </xdr:from>
    <xdr:to>
      <xdr:col>3</xdr:col>
      <xdr:colOff>60960</xdr:colOff>
      <xdr:row>5</xdr:row>
      <xdr:rowOff>789617</xdr:rowOff>
    </xdr:to>
    <xdr:sp macro="" textlink="">
      <xdr:nvSpPr>
        <xdr:cNvPr id="7" name="Oval 6"/>
        <xdr:cNvSpPr/>
      </xdr:nvSpPr>
      <xdr:spPr>
        <a:xfrm>
          <a:off x="586740" y="2755577"/>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576257</xdr:rowOff>
    </xdr:from>
    <xdr:to>
      <xdr:col>3</xdr:col>
      <xdr:colOff>60960</xdr:colOff>
      <xdr:row>5</xdr:row>
      <xdr:rowOff>119057</xdr:rowOff>
    </xdr:to>
    <xdr:sp macro="" textlink="">
      <xdr:nvSpPr>
        <xdr:cNvPr id="9" name="Oval 8"/>
        <xdr:cNvSpPr/>
      </xdr:nvSpPr>
      <xdr:spPr>
        <a:xfrm>
          <a:off x="586740" y="2085017"/>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103817</xdr:rowOff>
    </xdr:from>
    <xdr:to>
      <xdr:col>3</xdr:col>
      <xdr:colOff>60960</xdr:colOff>
      <xdr:row>6</xdr:row>
      <xdr:rowOff>561017</xdr:rowOff>
    </xdr:to>
    <xdr:sp macro="" textlink="">
      <xdr:nvSpPr>
        <xdr:cNvPr id="10" name="Oval 9"/>
        <xdr:cNvSpPr/>
      </xdr:nvSpPr>
      <xdr:spPr>
        <a:xfrm>
          <a:off x="586740" y="3441377"/>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561017</xdr:rowOff>
    </xdr:from>
    <xdr:to>
      <xdr:col>3</xdr:col>
      <xdr:colOff>1490663</xdr:colOff>
      <xdr:row>5</xdr:row>
      <xdr:rowOff>561017</xdr:rowOff>
    </xdr:to>
    <xdr:cxnSp macro="">
      <xdr:nvCxnSpPr>
        <xdr:cNvPr id="11" name="Straight Arrow Connector 10"/>
        <xdr:cNvCxnSpPr>
          <a:stCxn id="7" idx="6"/>
        </xdr:cNvCxnSpPr>
      </xdr:nvCxnSpPr>
      <xdr:spPr>
        <a:xfrm>
          <a:off x="1043940" y="2984177"/>
          <a:ext cx="1429703"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xdr:row>
      <xdr:rowOff>804857</xdr:rowOff>
    </xdr:from>
    <xdr:to>
      <xdr:col>3</xdr:col>
      <xdr:colOff>1509713</xdr:colOff>
      <xdr:row>4</xdr:row>
      <xdr:rowOff>804857</xdr:rowOff>
    </xdr:to>
    <xdr:cxnSp macro="">
      <xdr:nvCxnSpPr>
        <xdr:cNvPr id="12" name="Straight Arrow Connector 11"/>
        <xdr:cNvCxnSpPr>
          <a:stCxn id="9" idx="6"/>
        </xdr:cNvCxnSpPr>
      </xdr:nvCxnSpPr>
      <xdr:spPr>
        <a:xfrm>
          <a:off x="1043940" y="2313617"/>
          <a:ext cx="1448753"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5</xdr:row>
      <xdr:rowOff>891540</xdr:rowOff>
    </xdr:from>
    <xdr:to>
      <xdr:col>3</xdr:col>
      <xdr:colOff>1089660</xdr:colOff>
      <xdr:row>6</xdr:row>
      <xdr:rowOff>347657</xdr:rowOff>
    </xdr:to>
    <xdr:cxnSp macro="">
      <xdr:nvCxnSpPr>
        <xdr:cNvPr id="13" name="Elbow Connector 12"/>
        <xdr:cNvCxnSpPr/>
      </xdr:nvCxnSpPr>
      <xdr:spPr>
        <a:xfrm flipV="1">
          <a:off x="1059180" y="3314700"/>
          <a:ext cx="1013460" cy="370517"/>
        </a:xfrm>
        <a:prstGeom prst="bentConnector3">
          <a:avLst>
            <a:gd name="adj1" fmla="val 10112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768663</xdr:rowOff>
    </xdr:from>
    <xdr:to>
      <xdr:col>3</xdr:col>
      <xdr:colOff>60960</xdr:colOff>
      <xdr:row>7</xdr:row>
      <xdr:rowOff>311463</xdr:rowOff>
    </xdr:to>
    <xdr:sp macro="" textlink="">
      <xdr:nvSpPr>
        <xdr:cNvPr id="14" name="Oval 13"/>
        <xdr:cNvSpPr/>
      </xdr:nvSpPr>
      <xdr:spPr>
        <a:xfrm>
          <a:off x="586740" y="4106223"/>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7</xdr:row>
      <xdr:rowOff>82863</xdr:rowOff>
    </xdr:from>
    <xdr:to>
      <xdr:col>4</xdr:col>
      <xdr:colOff>45720</xdr:colOff>
      <xdr:row>7</xdr:row>
      <xdr:rowOff>82863</xdr:rowOff>
    </xdr:to>
    <xdr:cxnSp macro="">
      <xdr:nvCxnSpPr>
        <xdr:cNvPr id="15" name="Straight Arrow Connector 14"/>
        <xdr:cNvCxnSpPr>
          <a:stCxn id="14" idx="6"/>
        </xdr:cNvCxnSpPr>
      </xdr:nvCxnSpPr>
      <xdr:spPr>
        <a:xfrm>
          <a:off x="1043940" y="4334823"/>
          <a:ext cx="19583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075420"/>
          <a:ext cx="1826623" cy="499872"/>
        </a:xfrm>
        <a:prstGeom prst="rect">
          <a:avLst/>
        </a:prstGeom>
      </xdr:spPr>
    </xdr:pic>
    <xdr:clientData/>
  </xdr:twoCellAnchor>
  <xdr:oneCellAnchor>
    <xdr:from>
      <xdr:col>2</xdr:col>
      <xdr:colOff>0</xdr:colOff>
      <xdr:row>51</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829020"/>
          <a:ext cx="1827519" cy="508837"/>
        </a:xfrm>
        <a:prstGeom prst="rect">
          <a:avLst/>
        </a:prstGeom>
      </xdr:spPr>
    </xdr:pic>
    <xdr:clientData/>
  </xdr:oneCellAnchor>
  <xdr:twoCellAnchor>
    <xdr:from>
      <xdr:col>7</xdr:col>
      <xdr:colOff>441969</xdr:colOff>
      <xdr:row>4</xdr:row>
      <xdr:rowOff>121920</xdr:rowOff>
    </xdr:from>
    <xdr:to>
      <xdr:col>9</xdr:col>
      <xdr:colOff>612838</xdr:colOff>
      <xdr:row>7</xdr:row>
      <xdr:rowOff>762000</xdr:rowOff>
    </xdr:to>
    <xdr:grpSp>
      <xdr:nvGrpSpPr>
        <xdr:cNvPr id="31" name="Group 30"/>
        <xdr:cNvGrpSpPr/>
      </xdr:nvGrpSpPr>
      <xdr:grpSpPr>
        <a:xfrm>
          <a:off x="5288289" y="1630680"/>
          <a:ext cx="2365429" cy="3383280"/>
          <a:chOff x="5288289" y="1630680"/>
          <a:chExt cx="2365429" cy="3383280"/>
        </a:xfrm>
      </xdr:grpSpPr>
      <xdr:pic>
        <xdr:nvPicPr>
          <xdr:cNvPr id="7" name="Picture 6"/>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rot="16200000">
            <a:off x="5019290" y="2561849"/>
            <a:ext cx="2743200" cy="1917181"/>
          </a:xfrm>
          <a:prstGeom prst="rect">
            <a:avLst/>
          </a:prstGeom>
        </xdr:spPr>
      </xdr:pic>
      <xdr:sp macro="" textlink="">
        <xdr:nvSpPr>
          <xdr:cNvPr id="9" name="Rounded Rectangle 8"/>
          <xdr:cNvSpPr>
            <a:spLocks noChangeAspect="1"/>
          </xdr:cNvSpPr>
        </xdr:nvSpPr>
        <xdr:spPr>
          <a:xfrm>
            <a:off x="5288289" y="1630680"/>
            <a:ext cx="2365429" cy="3383280"/>
          </a:xfrm>
          <a:prstGeom prst="roundRect">
            <a:avLst>
              <a:gd name="adj" fmla="val 21821"/>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ln>
                  <a:noFill/>
                </a:ln>
                <a:solidFill>
                  <a:schemeClr val="tx1">
                    <a:lumMod val="75000"/>
                    <a:lumOff val="25000"/>
                  </a:schemeClr>
                </a:solidFill>
              </a:rPr>
              <a:t>PLAN VIEW</a:t>
            </a:r>
          </a:p>
        </xdr:txBody>
      </xdr:sp>
    </xdr:grpSp>
    <xdr:clientData/>
  </xdr:twoCellAnchor>
  <xdr:twoCellAnchor editAs="oneCell">
    <xdr:from>
      <xdr:col>8</xdr:col>
      <xdr:colOff>804961</xdr:colOff>
      <xdr:row>31</xdr:row>
      <xdr:rowOff>640080</xdr:rowOff>
    </xdr:from>
    <xdr:to>
      <xdr:col>13</xdr:col>
      <xdr:colOff>580553</xdr:colOff>
      <xdr:row>34</xdr:row>
      <xdr:rowOff>640080</xdr:rowOff>
    </xdr:to>
    <xdr:pic>
      <xdr:nvPicPr>
        <xdr:cNvPr id="13" name="Picture 1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48561" y="12070080"/>
          <a:ext cx="5033392" cy="2743200"/>
        </a:xfrm>
        <a:prstGeom prst="rect">
          <a:avLst/>
        </a:prstGeom>
      </xdr:spPr>
    </xdr:pic>
    <xdr:clientData/>
  </xdr:twoCellAnchor>
  <xdr:twoCellAnchor>
    <xdr:from>
      <xdr:col>8</xdr:col>
      <xdr:colOff>220980</xdr:colOff>
      <xdr:row>31</xdr:row>
      <xdr:rowOff>121920</xdr:rowOff>
    </xdr:from>
    <xdr:to>
      <xdr:col>14</xdr:col>
      <xdr:colOff>112974</xdr:colOff>
      <xdr:row>34</xdr:row>
      <xdr:rowOff>762000</xdr:rowOff>
    </xdr:to>
    <xdr:sp macro="" textlink="">
      <xdr:nvSpPr>
        <xdr:cNvPr id="15" name="Rounded Rectangle 14"/>
        <xdr:cNvSpPr>
          <a:spLocks noChangeAspect="1"/>
        </xdr:cNvSpPr>
      </xdr:nvSpPr>
      <xdr:spPr>
        <a:xfrm>
          <a:off x="6164580" y="11551920"/>
          <a:ext cx="6201354"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tx1">
                  <a:lumMod val="75000"/>
                  <a:lumOff val="25000"/>
                </a:schemeClr>
              </a:solidFill>
              <a:latin typeface="Tw Cen MT" panose="020B0602020104020603" pitchFamily="34" charset="0"/>
            </a:rPr>
            <a:t>PLAN VIEW</a:t>
          </a:r>
        </a:p>
      </xdr:txBody>
    </xdr:sp>
    <xdr:clientData/>
  </xdr:twoCellAnchor>
  <xdr:twoCellAnchor>
    <xdr:from>
      <xdr:col>2</xdr:col>
      <xdr:colOff>0</xdr:colOff>
      <xdr:row>4</xdr:row>
      <xdr:rowOff>121920</xdr:rowOff>
    </xdr:from>
    <xdr:to>
      <xdr:col>7</xdr:col>
      <xdr:colOff>299290</xdr:colOff>
      <xdr:row>7</xdr:row>
      <xdr:rowOff>762000</xdr:rowOff>
    </xdr:to>
    <xdr:grpSp>
      <xdr:nvGrpSpPr>
        <xdr:cNvPr id="30" name="Group 29"/>
        <xdr:cNvGrpSpPr/>
      </xdr:nvGrpSpPr>
      <xdr:grpSpPr>
        <a:xfrm>
          <a:off x="586740" y="1630680"/>
          <a:ext cx="4558870" cy="3383280"/>
          <a:chOff x="586740" y="1630680"/>
          <a:chExt cx="4558870" cy="3383280"/>
        </a:xfrm>
      </xdr:grpSpPr>
      <xdr:sp macro="" textlink="">
        <xdr:nvSpPr>
          <xdr:cNvPr id="6" name="Rounded Rectangle 5"/>
          <xdr:cNvSpPr>
            <a:spLocks noChangeAspect="1"/>
          </xdr:cNvSpPr>
        </xdr:nvSpPr>
        <xdr:spPr>
          <a:xfrm>
            <a:off x="982980" y="1630680"/>
            <a:ext cx="4162630" cy="3383280"/>
          </a:xfrm>
          <a:prstGeom prst="roundRect">
            <a:avLst/>
          </a:prstGeom>
          <a:blipFill>
            <a:blip xmlns:r="http://schemas.openxmlformats.org/officeDocument/2006/relationships" r:embed="rId5"/>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0" name="Oval 9"/>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11" name="Oval 10"/>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16" name="Straight Connector 15"/>
          <xdr:cNvCxnSpPr>
            <a:stCxn id="10" idx="6"/>
          </xdr:cNvCxnSpPr>
        </xdr:nvCxnSpPr>
        <xdr:spPr>
          <a:xfrm flipV="1">
            <a:off x="1043940" y="3318309"/>
            <a:ext cx="762000" cy="4011"/>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a:stCxn id="11" idx="6"/>
          </xdr:cNvCxnSpPr>
        </xdr:nvCxnSpPr>
        <xdr:spPr>
          <a:xfrm>
            <a:off x="1043940" y="2651760"/>
            <a:ext cx="1760220" cy="762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31</xdr:row>
      <xdr:rowOff>121920</xdr:rowOff>
    </xdr:from>
    <xdr:to>
      <xdr:col>8</xdr:col>
      <xdr:colOff>76368</xdr:colOff>
      <xdr:row>34</xdr:row>
      <xdr:rowOff>762000</xdr:rowOff>
    </xdr:to>
    <xdr:grpSp>
      <xdr:nvGrpSpPr>
        <xdr:cNvPr id="29" name="Group 28"/>
        <xdr:cNvGrpSpPr/>
      </xdr:nvGrpSpPr>
      <xdr:grpSpPr>
        <a:xfrm>
          <a:off x="586740" y="11551920"/>
          <a:ext cx="5433228" cy="3383280"/>
          <a:chOff x="586740" y="11551920"/>
          <a:chExt cx="5433228" cy="3383280"/>
        </a:xfrm>
      </xdr:grpSpPr>
      <xdr:sp macro="" textlink="">
        <xdr:nvSpPr>
          <xdr:cNvPr id="12" name="Rounded Rectangle 11"/>
          <xdr:cNvSpPr>
            <a:spLocks noChangeAspect="1"/>
          </xdr:cNvSpPr>
        </xdr:nvSpPr>
        <xdr:spPr>
          <a:xfrm>
            <a:off x="982980" y="11551920"/>
            <a:ext cx="5036988" cy="3383280"/>
          </a:xfrm>
          <a:prstGeom prst="roundRect">
            <a:avLst/>
          </a:prstGeom>
          <a:blipFill>
            <a:blip xmlns:r="http://schemas.openxmlformats.org/officeDocument/2006/relationships" r:embed="rId6"/>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0" name="Oval 19"/>
          <xdr:cNvSpPr/>
        </xdr:nvSpPr>
        <xdr:spPr>
          <a:xfrm>
            <a:off x="586740" y="13014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21" name="Oval 20"/>
          <xdr:cNvSpPr/>
        </xdr:nvSpPr>
        <xdr:spPr>
          <a:xfrm>
            <a:off x="586740" y="123444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23" name="Straight Connector 22"/>
          <xdr:cNvCxnSpPr>
            <a:stCxn id="21" idx="6"/>
          </xdr:cNvCxnSpPr>
        </xdr:nvCxnSpPr>
        <xdr:spPr>
          <a:xfrm>
            <a:off x="1043940" y="12573000"/>
            <a:ext cx="84582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25" name="Elbow Connector 24"/>
          <xdr:cNvCxnSpPr>
            <a:stCxn id="20" idx="6"/>
          </xdr:cNvCxnSpPr>
        </xdr:nvCxnSpPr>
        <xdr:spPr>
          <a:xfrm>
            <a:off x="1043940" y="13243560"/>
            <a:ext cx="2331720" cy="548640"/>
          </a:xfrm>
          <a:prstGeom prst="bentConnector3">
            <a:avLst>
              <a:gd name="adj1" fmla="val 10032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59240"/>
          <a:ext cx="1826623" cy="499872"/>
        </a:xfrm>
        <a:prstGeom prst="rect">
          <a:avLst/>
        </a:prstGeom>
      </xdr:spPr>
    </xdr:pic>
    <xdr:clientData/>
  </xdr:twoCellAnchor>
  <xdr:oneCellAnchor>
    <xdr:from>
      <xdr:col>2</xdr:col>
      <xdr:colOff>0</xdr:colOff>
      <xdr:row>51</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9011900"/>
          <a:ext cx="1827519" cy="508837"/>
        </a:xfrm>
        <a:prstGeom prst="rect">
          <a:avLst/>
        </a:prstGeom>
      </xdr:spPr>
    </xdr:pic>
    <xdr:clientData/>
  </xdr:oneCellAnchor>
  <xdr:twoCellAnchor>
    <xdr:from>
      <xdr:col>6</xdr:col>
      <xdr:colOff>769620</xdr:colOff>
      <xdr:row>4</xdr:row>
      <xdr:rowOff>129540</xdr:rowOff>
    </xdr:from>
    <xdr:to>
      <xdr:col>10</xdr:col>
      <xdr:colOff>836984</xdr:colOff>
      <xdr:row>7</xdr:row>
      <xdr:rowOff>769620</xdr:rowOff>
    </xdr:to>
    <xdr:grpSp>
      <xdr:nvGrpSpPr>
        <xdr:cNvPr id="26" name="Group 25"/>
        <xdr:cNvGrpSpPr/>
      </xdr:nvGrpSpPr>
      <xdr:grpSpPr>
        <a:xfrm>
          <a:off x="4518660" y="1638300"/>
          <a:ext cx="5767124" cy="3383280"/>
          <a:chOff x="4518660" y="1638300"/>
          <a:chExt cx="5767124" cy="3383280"/>
        </a:xfrm>
      </xdr:grpSpPr>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64270" y="1958340"/>
            <a:ext cx="4675905" cy="2743200"/>
          </a:xfrm>
          <a:prstGeom prst="rect">
            <a:avLst/>
          </a:prstGeom>
        </xdr:spPr>
      </xdr:pic>
      <xdr:sp macro="" textlink="">
        <xdr:nvSpPr>
          <xdr:cNvPr id="9" name="Rounded Rectangle 8"/>
          <xdr:cNvSpPr>
            <a:spLocks noChangeAspect="1"/>
          </xdr:cNvSpPr>
        </xdr:nvSpPr>
        <xdr:spPr>
          <a:xfrm>
            <a:off x="4518660" y="1638300"/>
            <a:ext cx="5767124"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grpSp>
    <xdr:clientData/>
  </xdr:twoCellAnchor>
  <xdr:twoCellAnchor>
    <xdr:from>
      <xdr:col>7</xdr:col>
      <xdr:colOff>868680</xdr:colOff>
      <xdr:row>31</xdr:row>
      <xdr:rowOff>121920</xdr:rowOff>
    </xdr:from>
    <xdr:to>
      <xdr:col>11</xdr:col>
      <xdr:colOff>278992</xdr:colOff>
      <xdr:row>34</xdr:row>
      <xdr:rowOff>762000</xdr:rowOff>
    </xdr:to>
    <xdr:grpSp>
      <xdr:nvGrpSpPr>
        <xdr:cNvPr id="27" name="Group 26"/>
        <xdr:cNvGrpSpPr/>
      </xdr:nvGrpSpPr>
      <xdr:grpSpPr>
        <a:xfrm>
          <a:off x="5715000" y="11551920"/>
          <a:ext cx="4889092" cy="3383280"/>
          <a:chOff x="5715000" y="11551920"/>
          <a:chExt cx="4889092" cy="3383280"/>
        </a:xfrm>
      </xdr:grpSpPr>
      <xdr:pic>
        <xdr:nvPicPr>
          <xdr:cNvPr id="16" name="Picture 15"/>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175489" y="11871960"/>
            <a:ext cx="3968115" cy="2743200"/>
          </a:xfrm>
          <a:prstGeom prst="rect">
            <a:avLst/>
          </a:prstGeom>
        </xdr:spPr>
      </xdr:pic>
      <xdr:sp macro="" textlink="">
        <xdr:nvSpPr>
          <xdr:cNvPr id="18" name="Rounded Rectangle 17"/>
          <xdr:cNvSpPr>
            <a:spLocks noChangeAspect="1"/>
          </xdr:cNvSpPr>
        </xdr:nvSpPr>
        <xdr:spPr>
          <a:xfrm>
            <a:off x="5715000" y="11551920"/>
            <a:ext cx="4889092"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grpSp>
    <xdr:clientData/>
  </xdr:twoCellAnchor>
  <xdr:twoCellAnchor>
    <xdr:from>
      <xdr:col>2</xdr:col>
      <xdr:colOff>0</xdr:colOff>
      <xdr:row>4</xdr:row>
      <xdr:rowOff>129540</xdr:rowOff>
    </xdr:from>
    <xdr:to>
      <xdr:col>6</xdr:col>
      <xdr:colOff>623985</xdr:colOff>
      <xdr:row>7</xdr:row>
      <xdr:rowOff>769620</xdr:rowOff>
    </xdr:to>
    <xdr:grpSp>
      <xdr:nvGrpSpPr>
        <xdr:cNvPr id="25" name="Group 24"/>
        <xdr:cNvGrpSpPr/>
      </xdr:nvGrpSpPr>
      <xdr:grpSpPr>
        <a:xfrm>
          <a:off x="586740" y="1638300"/>
          <a:ext cx="3786285" cy="3383280"/>
          <a:chOff x="586740" y="1638300"/>
          <a:chExt cx="3786285" cy="3383280"/>
        </a:xfrm>
      </xdr:grpSpPr>
      <xdr:sp macro="" textlink="">
        <xdr:nvSpPr>
          <xdr:cNvPr id="12" name="Rounded Rectangle 11"/>
          <xdr:cNvSpPr>
            <a:spLocks noChangeAspect="1"/>
          </xdr:cNvSpPr>
        </xdr:nvSpPr>
        <xdr:spPr>
          <a:xfrm>
            <a:off x="982980" y="1638300"/>
            <a:ext cx="3390045" cy="3383280"/>
          </a:xfrm>
          <a:prstGeom prst="roundRect">
            <a:avLst/>
          </a:prstGeom>
          <a:blipFill>
            <a:blip xmlns:r="http://schemas.openxmlformats.org/officeDocument/2006/relationships" r:embed="rId5"/>
            <a:stretch>
              <a:fillRect t="377" r="-3916"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0" name="Oval 9"/>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11" name="Oval 10"/>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14" name="Elbow Connector 13"/>
          <xdr:cNvCxnSpPr>
            <a:stCxn id="10" idx="6"/>
          </xdr:cNvCxnSpPr>
        </xdr:nvCxnSpPr>
        <xdr:spPr>
          <a:xfrm>
            <a:off x="1043940" y="3322320"/>
            <a:ext cx="1638300" cy="487680"/>
          </a:xfrm>
          <a:prstGeom prst="bentConnector3">
            <a:avLst>
              <a:gd name="adj1" fmla="val 1558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7" name="Elbow Connector 16"/>
          <xdr:cNvCxnSpPr/>
        </xdr:nvCxnSpPr>
        <xdr:spPr>
          <a:xfrm>
            <a:off x="1059180" y="2651760"/>
            <a:ext cx="967740" cy="899160"/>
          </a:xfrm>
          <a:prstGeom prst="bentConnector3">
            <a:avLst>
              <a:gd name="adj1" fmla="val 10039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31</xdr:row>
      <xdr:rowOff>121920</xdr:rowOff>
    </xdr:from>
    <xdr:to>
      <xdr:col>7</xdr:col>
      <xdr:colOff>724383</xdr:colOff>
      <xdr:row>34</xdr:row>
      <xdr:rowOff>762000</xdr:rowOff>
    </xdr:to>
    <xdr:sp macro="" textlink="">
      <xdr:nvSpPr>
        <xdr:cNvPr id="15" name="Rounded Rectangle 14"/>
        <xdr:cNvSpPr>
          <a:spLocks noChangeAspect="1"/>
        </xdr:cNvSpPr>
      </xdr:nvSpPr>
      <xdr:spPr>
        <a:xfrm>
          <a:off x="982980" y="11551920"/>
          <a:ext cx="4587723" cy="3383280"/>
        </a:xfrm>
        <a:prstGeom prst="roundRect">
          <a:avLst/>
        </a:prstGeom>
        <a:blipFill>
          <a:blip xmlns:r="http://schemas.openxmlformats.org/officeDocument/2006/relationships" r:embed="rId6"/>
          <a:stretch>
            <a:fillRect t="377" r="-3916"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0</xdr:colOff>
      <xdr:row>32</xdr:row>
      <xdr:rowOff>670560</xdr:rowOff>
    </xdr:from>
    <xdr:to>
      <xdr:col>3</xdr:col>
      <xdr:colOff>60960</xdr:colOff>
      <xdr:row>33</xdr:row>
      <xdr:rowOff>213360</xdr:rowOff>
    </xdr:to>
    <xdr:sp macro="" textlink="">
      <xdr:nvSpPr>
        <xdr:cNvPr id="21" name="Oval 20"/>
        <xdr:cNvSpPr/>
      </xdr:nvSpPr>
      <xdr:spPr>
        <a:xfrm>
          <a:off x="586740" y="13014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32</xdr:row>
      <xdr:rowOff>0</xdr:rowOff>
    </xdr:from>
    <xdr:to>
      <xdr:col>3</xdr:col>
      <xdr:colOff>60960</xdr:colOff>
      <xdr:row>32</xdr:row>
      <xdr:rowOff>457200</xdr:rowOff>
    </xdr:to>
    <xdr:sp macro="" textlink="">
      <xdr:nvSpPr>
        <xdr:cNvPr id="22" name="Oval 21"/>
        <xdr:cNvSpPr/>
      </xdr:nvSpPr>
      <xdr:spPr>
        <a:xfrm>
          <a:off x="586740" y="123444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32</xdr:row>
      <xdr:rowOff>228600</xdr:rowOff>
    </xdr:from>
    <xdr:to>
      <xdr:col>3</xdr:col>
      <xdr:colOff>1173480</xdr:colOff>
      <xdr:row>32</xdr:row>
      <xdr:rowOff>228600</xdr:rowOff>
    </xdr:to>
    <xdr:cxnSp macro="">
      <xdr:nvCxnSpPr>
        <xdr:cNvPr id="29" name="Straight Connector 28"/>
        <xdr:cNvCxnSpPr>
          <a:stCxn id="22" idx="6"/>
        </xdr:cNvCxnSpPr>
      </xdr:nvCxnSpPr>
      <xdr:spPr>
        <a:xfrm>
          <a:off x="1043940" y="12573000"/>
          <a:ext cx="111252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32</xdr:row>
      <xdr:rowOff>891540</xdr:rowOff>
    </xdr:from>
    <xdr:to>
      <xdr:col>4</xdr:col>
      <xdr:colOff>38100</xdr:colOff>
      <xdr:row>32</xdr:row>
      <xdr:rowOff>899160</xdr:rowOff>
    </xdr:to>
    <xdr:cxnSp macro="">
      <xdr:nvCxnSpPr>
        <xdr:cNvPr id="32" name="Straight Connector 31"/>
        <xdr:cNvCxnSpPr>
          <a:stCxn id="21" idx="6"/>
        </xdr:cNvCxnSpPr>
      </xdr:nvCxnSpPr>
      <xdr:spPr>
        <a:xfrm flipV="1">
          <a:off x="1043940" y="13235940"/>
          <a:ext cx="1950720" cy="762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79</xdr:row>
      <xdr:rowOff>0</xdr:rowOff>
    </xdr:from>
    <xdr:ext cx="1827519" cy="508837"/>
    <xdr:pic>
      <xdr:nvPicPr>
        <xdr:cNvPr id="2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586740" y="19156680"/>
          <a:ext cx="1827519" cy="508837"/>
        </a:xfrm>
        <a:prstGeom prst="rect">
          <a:avLst/>
        </a:prstGeom>
      </xdr:spPr>
    </xdr:pic>
    <xdr:clientData/>
  </xdr:oneCellAnchor>
  <xdr:twoCellAnchor>
    <xdr:from>
      <xdr:col>3</xdr:col>
      <xdr:colOff>0</xdr:colOff>
      <xdr:row>58</xdr:row>
      <xdr:rowOff>121920</xdr:rowOff>
    </xdr:from>
    <xdr:to>
      <xdr:col>7</xdr:col>
      <xdr:colOff>115399</xdr:colOff>
      <xdr:row>61</xdr:row>
      <xdr:rowOff>762000</xdr:rowOff>
    </xdr:to>
    <xdr:sp macro="" textlink="">
      <xdr:nvSpPr>
        <xdr:cNvPr id="39" name="Rounded Rectangle 38"/>
        <xdr:cNvSpPr>
          <a:spLocks noChangeAspect="1"/>
        </xdr:cNvSpPr>
      </xdr:nvSpPr>
      <xdr:spPr>
        <a:xfrm>
          <a:off x="982980" y="21473160"/>
          <a:ext cx="3978739" cy="3383280"/>
        </a:xfrm>
        <a:prstGeom prst="roundRect">
          <a:avLst/>
        </a:prstGeom>
        <a:blipFill>
          <a:blip xmlns:r="http://schemas.openxmlformats.org/officeDocument/2006/relationships" r:embed="rId7"/>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0</xdr:colOff>
      <xdr:row>59</xdr:row>
      <xdr:rowOff>0</xdr:rowOff>
    </xdr:from>
    <xdr:to>
      <xdr:col>3</xdr:col>
      <xdr:colOff>60960</xdr:colOff>
      <xdr:row>59</xdr:row>
      <xdr:rowOff>457200</xdr:rowOff>
    </xdr:to>
    <xdr:sp macro="" textlink="">
      <xdr:nvSpPr>
        <xdr:cNvPr id="41" name="Oval 40"/>
        <xdr:cNvSpPr/>
      </xdr:nvSpPr>
      <xdr:spPr>
        <a:xfrm>
          <a:off x="586740" y="222656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59</xdr:row>
      <xdr:rowOff>228600</xdr:rowOff>
    </xdr:from>
    <xdr:to>
      <xdr:col>3</xdr:col>
      <xdr:colOff>876300</xdr:colOff>
      <xdr:row>59</xdr:row>
      <xdr:rowOff>228600</xdr:rowOff>
    </xdr:to>
    <xdr:cxnSp macro="">
      <xdr:nvCxnSpPr>
        <xdr:cNvPr id="42" name="Straight Connector 41"/>
        <xdr:cNvCxnSpPr>
          <a:stCxn id="41" idx="6"/>
        </xdr:cNvCxnSpPr>
      </xdr:nvCxnSpPr>
      <xdr:spPr>
        <a:xfrm>
          <a:off x="1043940" y="22494240"/>
          <a:ext cx="81534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xdr:col>
      <xdr:colOff>1415143</xdr:colOff>
      <xdr:row>25</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075420"/>
          <a:ext cx="1826623" cy="499872"/>
        </a:xfrm>
        <a:prstGeom prst="rect">
          <a:avLst/>
        </a:prstGeom>
      </xdr:spPr>
    </xdr:pic>
    <xdr:clientData/>
  </xdr:twoCellAnchor>
  <xdr:oneCellAnchor>
    <xdr:from>
      <xdr:col>2</xdr:col>
      <xdr:colOff>0</xdr:colOff>
      <xdr:row>48</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18829020"/>
          <a:ext cx="1827519" cy="508837"/>
        </a:xfrm>
        <a:prstGeom prst="rect">
          <a:avLst/>
        </a:prstGeom>
      </xdr:spPr>
    </xdr:pic>
    <xdr:clientData/>
  </xdr:oneCellAnchor>
  <xdr:oneCellAnchor>
    <xdr:from>
      <xdr:col>2</xdr:col>
      <xdr:colOff>0</xdr:colOff>
      <xdr:row>74</xdr:row>
      <xdr:rowOff>0</xdr:rowOff>
    </xdr:from>
    <xdr:ext cx="1827519" cy="508837"/>
    <xdr:pic>
      <xdr:nvPicPr>
        <xdr:cNvPr id="4"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28605480"/>
          <a:ext cx="1827519" cy="508837"/>
        </a:xfrm>
        <a:prstGeom prst="rect">
          <a:avLst/>
        </a:prstGeom>
      </xdr:spPr>
    </xdr:pic>
    <xdr:clientData/>
  </xdr:oneCellAnchor>
  <xdr:oneCellAnchor>
    <xdr:from>
      <xdr:col>2</xdr:col>
      <xdr:colOff>0</xdr:colOff>
      <xdr:row>101</xdr:row>
      <xdr:rowOff>0</xdr:rowOff>
    </xdr:from>
    <xdr:ext cx="1827519" cy="508837"/>
    <xdr:pic>
      <xdr:nvPicPr>
        <xdr:cNvPr id="5"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28712160"/>
          <a:ext cx="1827519" cy="508837"/>
        </a:xfrm>
        <a:prstGeom prst="rect">
          <a:avLst/>
        </a:prstGeom>
      </xdr:spPr>
    </xdr:pic>
    <xdr:clientData/>
  </xdr:oneCellAnchor>
  <xdr:oneCellAnchor>
    <xdr:from>
      <xdr:col>2</xdr:col>
      <xdr:colOff>0</xdr:colOff>
      <xdr:row>128</xdr:row>
      <xdr:rowOff>0</xdr:rowOff>
    </xdr:from>
    <xdr:ext cx="1827519" cy="508837"/>
    <xdr:pic>
      <xdr:nvPicPr>
        <xdr:cNvPr id="6"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38534340"/>
          <a:ext cx="1827519" cy="508837"/>
        </a:xfrm>
        <a:prstGeom prst="rect">
          <a:avLst/>
        </a:prstGeom>
      </xdr:spPr>
    </xdr:pic>
    <xdr:clientData/>
  </xdr:oneCellAnchor>
  <xdr:oneCellAnchor>
    <xdr:from>
      <xdr:col>2</xdr:col>
      <xdr:colOff>0</xdr:colOff>
      <xdr:row>153</xdr:row>
      <xdr:rowOff>0</xdr:rowOff>
    </xdr:from>
    <xdr:ext cx="1827519" cy="508837"/>
    <xdr:pic>
      <xdr:nvPicPr>
        <xdr:cNvPr id="7"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48356520"/>
          <a:ext cx="1827519" cy="508837"/>
        </a:xfrm>
        <a:prstGeom prst="rect">
          <a:avLst/>
        </a:prstGeom>
      </xdr:spPr>
    </xdr:pic>
    <xdr:clientData/>
  </xdr:oneCellAnchor>
  <xdr:oneCellAnchor>
    <xdr:from>
      <xdr:col>2</xdr:col>
      <xdr:colOff>0</xdr:colOff>
      <xdr:row>180</xdr:row>
      <xdr:rowOff>0</xdr:rowOff>
    </xdr:from>
    <xdr:ext cx="1827519" cy="508837"/>
    <xdr:pic>
      <xdr:nvPicPr>
        <xdr:cNvPr id="8"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58770982"/>
          <a:ext cx="1827519" cy="508837"/>
        </a:xfrm>
        <a:prstGeom prst="rect">
          <a:avLst/>
        </a:prstGeom>
      </xdr:spPr>
    </xdr:pic>
    <xdr:clientData/>
  </xdr:oneCellAnchor>
  <xdr:oneCellAnchor>
    <xdr:from>
      <xdr:col>2</xdr:col>
      <xdr:colOff>0</xdr:colOff>
      <xdr:row>207</xdr:row>
      <xdr:rowOff>0</xdr:rowOff>
    </xdr:from>
    <xdr:ext cx="1827519" cy="508837"/>
    <xdr:pic>
      <xdr:nvPicPr>
        <xdr:cNvPr id="9"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68024829"/>
          <a:ext cx="1827519" cy="508837"/>
        </a:xfrm>
        <a:prstGeom prst="rect">
          <a:avLst/>
        </a:prstGeom>
      </xdr:spPr>
    </xdr:pic>
    <xdr:clientData/>
  </xdr:oneCellAnchor>
  <xdr:oneCellAnchor>
    <xdr:from>
      <xdr:col>2</xdr:col>
      <xdr:colOff>0</xdr:colOff>
      <xdr:row>234</xdr:row>
      <xdr:rowOff>0</xdr:rowOff>
    </xdr:from>
    <xdr:ext cx="1827519" cy="508837"/>
    <xdr:pic>
      <xdr:nvPicPr>
        <xdr:cNvPr id="10"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77854629"/>
          <a:ext cx="1827519" cy="508837"/>
        </a:xfrm>
        <a:prstGeom prst="rect">
          <a:avLst/>
        </a:prstGeom>
      </xdr:spPr>
    </xdr:pic>
    <xdr:clientData/>
  </xdr:oneCellAnchor>
  <xdr:twoCellAnchor>
    <xdr:from>
      <xdr:col>3</xdr:col>
      <xdr:colOff>0</xdr:colOff>
      <xdr:row>4</xdr:row>
      <xdr:rowOff>121920</xdr:rowOff>
    </xdr:from>
    <xdr:to>
      <xdr:col>7</xdr:col>
      <xdr:colOff>832649</xdr:colOff>
      <xdr:row>7</xdr:row>
      <xdr:rowOff>762000</xdr:rowOff>
    </xdr:to>
    <xdr:sp macro="" textlink="">
      <xdr:nvSpPr>
        <xdr:cNvPr id="14" name="Rounded Rectangle 13"/>
        <xdr:cNvSpPr>
          <a:spLocks noChangeAspect="1"/>
        </xdr:cNvSpPr>
      </xdr:nvSpPr>
      <xdr:spPr>
        <a:xfrm>
          <a:off x="982980" y="1630680"/>
          <a:ext cx="4695989" cy="3383280"/>
        </a:xfrm>
        <a:prstGeom prst="roundRect">
          <a:avLst/>
        </a:prstGeom>
        <a:blipFill>
          <a:blip xmlns:r="http://schemas.openxmlformats.org/officeDocument/2006/relationships" r:embed="rId2"/>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975360</xdr:colOff>
      <xdr:row>4</xdr:row>
      <xdr:rowOff>121920</xdr:rowOff>
    </xdr:from>
    <xdr:to>
      <xdr:col>13</xdr:col>
      <xdr:colOff>145636</xdr:colOff>
      <xdr:row>7</xdr:row>
      <xdr:rowOff>762000</xdr:rowOff>
    </xdr:to>
    <xdr:grpSp>
      <xdr:nvGrpSpPr>
        <xdr:cNvPr id="11" name="Group 10"/>
        <xdr:cNvGrpSpPr/>
      </xdr:nvGrpSpPr>
      <xdr:grpSpPr>
        <a:xfrm>
          <a:off x="5821680" y="1630680"/>
          <a:ext cx="5525356" cy="3383280"/>
          <a:chOff x="5821680" y="1630680"/>
          <a:chExt cx="5525356" cy="3383280"/>
        </a:xfrm>
      </xdr:grpSpPr>
      <xdr:pic>
        <xdr:nvPicPr>
          <xdr:cNvPr id="15" name="Picture 14"/>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6343471" y="1950720"/>
            <a:ext cx="4481775" cy="2743200"/>
          </a:xfrm>
          <a:prstGeom prst="rect">
            <a:avLst/>
          </a:prstGeom>
        </xdr:spPr>
      </xdr:pic>
      <xdr:sp macro="" textlink="">
        <xdr:nvSpPr>
          <xdr:cNvPr id="17" name="Rounded Rectangle 16"/>
          <xdr:cNvSpPr>
            <a:spLocks noChangeAspect="1"/>
          </xdr:cNvSpPr>
        </xdr:nvSpPr>
        <xdr:spPr>
          <a:xfrm>
            <a:off x="5821680" y="1630680"/>
            <a:ext cx="5525356"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grpSp>
    <xdr:clientData/>
  </xdr:twoCellAnchor>
  <xdr:twoCellAnchor>
    <xdr:from>
      <xdr:col>3</xdr:col>
      <xdr:colOff>0</xdr:colOff>
      <xdr:row>30</xdr:row>
      <xdr:rowOff>121920</xdr:rowOff>
    </xdr:from>
    <xdr:to>
      <xdr:col>8</xdr:col>
      <xdr:colOff>213182</xdr:colOff>
      <xdr:row>33</xdr:row>
      <xdr:rowOff>762000</xdr:rowOff>
    </xdr:to>
    <xdr:sp macro="" textlink="">
      <xdr:nvSpPr>
        <xdr:cNvPr id="20" name="Rounded Rectangle 19"/>
        <xdr:cNvSpPr>
          <a:spLocks noChangeAspect="1"/>
        </xdr:cNvSpPr>
      </xdr:nvSpPr>
      <xdr:spPr>
        <a:xfrm>
          <a:off x="982980" y="11529060"/>
          <a:ext cx="5173802" cy="3383280"/>
        </a:xfrm>
        <a:prstGeom prst="roundRect">
          <a:avLst/>
        </a:prstGeom>
        <a:blipFill>
          <a:blip xmlns:r="http://schemas.openxmlformats.org/officeDocument/2006/relationships" r:embed="rId4"/>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948210</xdr:colOff>
      <xdr:row>30</xdr:row>
      <xdr:rowOff>434340</xdr:rowOff>
    </xdr:from>
    <xdr:to>
      <xdr:col>13</xdr:col>
      <xdr:colOff>762737</xdr:colOff>
      <xdr:row>33</xdr:row>
      <xdr:rowOff>434340</xdr:rowOff>
    </xdr:to>
    <xdr:pic>
      <xdr:nvPicPr>
        <xdr:cNvPr id="21" name="Picture 20"/>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6891810" y="11841480"/>
          <a:ext cx="5072327" cy="2743200"/>
        </a:xfrm>
        <a:prstGeom prst="rect">
          <a:avLst/>
        </a:prstGeom>
      </xdr:spPr>
    </xdr:pic>
    <xdr:clientData/>
  </xdr:twoCellAnchor>
  <xdr:twoCellAnchor>
    <xdr:from>
      <xdr:col>8</xdr:col>
      <xdr:colOff>358141</xdr:colOff>
      <xdr:row>30</xdr:row>
      <xdr:rowOff>114300</xdr:rowOff>
    </xdr:from>
    <xdr:to>
      <xdr:col>14</xdr:col>
      <xdr:colOff>301246</xdr:colOff>
      <xdr:row>33</xdr:row>
      <xdr:rowOff>754380</xdr:rowOff>
    </xdr:to>
    <xdr:sp macro="" textlink="">
      <xdr:nvSpPr>
        <xdr:cNvPr id="22" name="Rounded Rectangle 21"/>
        <xdr:cNvSpPr>
          <a:spLocks noChangeAspect="1"/>
        </xdr:cNvSpPr>
      </xdr:nvSpPr>
      <xdr:spPr>
        <a:xfrm>
          <a:off x="6301741" y="11521440"/>
          <a:ext cx="6252465"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55</xdr:row>
      <xdr:rowOff>121920</xdr:rowOff>
    </xdr:from>
    <xdr:to>
      <xdr:col>7</xdr:col>
      <xdr:colOff>197544</xdr:colOff>
      <xdr:row>58</xdr:row>
      <xdr:rowOff>762000</xdr:rowOff>
    </xdr:to>
    <xdr:sp macro="" textlink="">
      <xdr:nvSpPr>
        <xdr:cNvPr id="25" name="Rounded Rectangle 24"/>
        <xdr:cNvSpPr>
          <a:spLocks noChangeAspect="1"/>
        </xdr:cNvSpPr>
      </xdr:nvSpPr>
      <xdr:spPr>
        <a:xfrm>
          <a:off x="982980" y="21404580"/>
          <a:ext cx="4060884" cy="3383280"/>
        </a:xfrm>
        <a:prstGeom prst="roundRect">
          <a:avLst/>
        </a:prstGeom>
        <a:blipFill>
          <a:blip xmlns:r="http://schemas.openxmlformats.org/officeDocument/2006/relationships" r:embed="rId6"/>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7</xdr:col>
      <xdr:colOff>621843</xdr:colOff>
      <xdr:row>55</xdr:row>
      <xdr:rowOff>571500</xdr:rowOff>
    </xdr:from>
    <xdr:to>
      <xdr:col>9</xdr:col>
      <xdr:colOff>1322941</xdr:colOff>
      <xdr:row>58</xdr:row>
      <xdr:rowOff>571500</xdr:rowOff>
    </xdr:to>
    <xdr:pic>
      <xdr:nvPicPr>
        <xdr:cNvPr id="26" name="Picture 25"/>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val="0"/>
            </a:ext>
          </a:extLst>
        </a:blip>
        <a:stretch>
          <a:fillRect/>
        </a:stretch>
      </xdr:blipFill>
      <xdr:spPr>
        <a:xfrm rot="5400000">
          <a:off x="5544392" y="21777931"/>
          <a:ext cx="2743200" cy="2895658"/>
        </a:xfrm>
        <a:prstGeom prst="rect">
          <a:avLst/>
        </a:prstGeom>
      </xdr:spPr>
    </xdr:pic>
    <xdr:clientData/>
  </xdr:twoCellAnchor>
  <xdr:twoCellAnchor>
    <xdr:from>
      <xdr:col>7</xdr:col>
      <xdr:colOff>350527</xdr:colOff>
      <xdr:row>55</xdr:row>
      <xdr:rowOff>129540</xdr:rowOff>
    </xdr:from>
    <xdr:to>
      <xdr:col>9</xdr:col>
      <xdr:colOff>1594258</xdr:colOff>
      <xdr:row>58</xdr:row>
      <xdr:rowOff>769620</xdr:rowOff>
    </xdr:to>
    <xdr:sp macro="" textlink="">
      <xdr:nvSpPr>
        <xdr:cNvPr id="27" name="Rounded Rectangle 26"/>
        <xdr:cNvSpPr>
          <a:spLocks noChangeAspect="1"/>
        </xdr:cNvSpPr>
      </xdr:nvSpPr>
      <xdr:spPr>
        <a:xfrm>
          <a:off x="5196847" y="21412200"/>
          <a:ext cx="3438291"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81</xdr:row>
      <xdr:rowOff>121920</xdr:rowOff>
    </xdr:from>
    <xdr:to>
      <xdr:col>7</xdr:col>
      <xdr:colOff>1069103</xdr:colOff>
      <xdr:row>84</xdr:row>
      <xdr:rowOff>762000</xdr:rowOff>
    </xdr:to>
    <xdr:sp macro="" textlink="">
      <xdr:nvSpPr>
        <xdr:cNvPr id="30" name="Rounded Rectangle 29"/>
        <xdr:cNvSpPr>
          <a:spLocks noChangeAspect="1"/>
        </xdr:cNvSpPr>
      </xdr:nvSpPr>
      <xdr:spPr>
        <a:xfrm>
          <a:off x="982980" y="31302960"/>
          <a:ext cx="4932443" cy="3383280"/>
        </a:xfrm>
        <a:prstGeom prst="roundRect">
          <a:avLst/>
        </a:prstGeom>
        <a:blipFill>
          <a:blip xmlns:r="http://schemas.openxmlformats.org/officeDocument/2006/relationships" r:embed="rId8"/>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275706</xdr:colOff>
      <xdr:row>81</xdr:row>
      <xdr:rowOff>441960</xdr:rowOff>
    </xdr:from>
    <xdr:to>
      <xdr:col>14</xdr:col>
      <xdr:colOff>768231</xdr:colOff>
      <xdr:row>84</xdr:row>
      <xdr:rowOff>441960</xdr:rowOff>
    </xdr:to>
    <xdr:pic>
      <xdr:nvPicPr>
        <xdr:cNvPr id="31" name="Picture 3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219306" y="31623000"/>
          <a:ext cx="6801885" cy="2743200"/>
        </a:xfrm>
        <a:prstGeom prst="rect">
          <a:avLst/>
        </a:prstGeom>
      </xdr:spPr>
    </xdr:pic>
    <xdr:clientData/>
  </xdr:twoCellAnchor>
  <xdr:twoCellAnchor>
    <xdr:from>
      <xdr:col>8</xdr:col>
      <xdr:colOff>121916</xdr:colOff>
      <xdr:row>81</xdr:row>
      <xdr:rowOff>121920</xdr:rowOff>
    </xdr:from>
    <xdr:to>
      <xdr:col>14</xdr:col>
      <xdr:colOff>922020</xdr:colOff>
      <xdr:row>84</xdr:row>
      <xdr:rowOff>762000</xdr:rowOff>
    </xdr:to>
    <xdr:sp macro="" textlink="">
      <xdr:nvSpPr>
        <xdr:cNvPr id="33" name="Rounded Rectangle 32"/>
        <xdr:cNvSpPr>
          <a:spLocks noChangeAspect="1"/>
        </xdr:cNvSpPr>
      </xdr:nvSpPr>
      <xdr:spPr>
        <a:xfrm>
          <a:off x="6065516" y="31302960"/>
          <a:ext cx="7109464"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108</xdr:row>
      <xdr:rowOff>121920</xdr:rowOff>
    </xdr:from>
    <xdr:to>
      <xdr:col>7</xdr:col>
      <xdr:colOff>751097</xdr:colOff>
      <xdr:row>111</xdr:row>
      <xdr:rowOff>762000</xdr:rowOff>
    </xdr:to>
    <xdr:sp macro="" textlink="">
      <xdr:nvSpPr>
        <xdr:cNvPr id="36" name="Rounded Rectangle 35"/>
        <xdr:cNvSpPr>
          <a:spLocks noChangeAspect="1"/>
        </xdr:cNvSpPr>
      </xdr:nvSpPr>
      <xdr:spPr>
        <a:xfrm>
          <a:off x="982980" y="41224200"/>
          <a:ext cx="4614437" cy="3383280"/>
        </a:xfrm>
        <a:prstGeom prst="roundRect">
          <a:avLst/>
        </a:prstGeom>
        <a:blipFill>
          <a:blip xmlns:r="http://schemas.openxmlformats.org/officeDocument/2006/relationships" r:embed="rId10"/>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83820</xdr:colOff>
      <xdr:row>109</xdr:row>
      <xdr:rowOff>25461</xdr:rowOff>
    </xdr:from>
    <xdr:to>
      <xdr:col>14</xdr:col>
      <xdr:colOff>541020</xdr:colOff>
      <xdr:row>110</xdr:row>
      <xdr:rowOff>858460</xdr:rowOff>
    </xdr:to>
    <xdr:pic>
      <xdr:nvPicPr>
        <xdr:cNvPr id="40" name="Picture 3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027420" y="42042141"/>
          <a:ext cx="6766560" cy="1747399"/>
        </a:xfrm>
        <a:prstGeom prst="rect">
          <a:avLst/>
        </a:prstGeom>
      </xdr:spPr>
    </xdr:pic>
    <xdr:clientData/>
  </xdr:twoCellAnchor>
  <xdr:twoCellAnchor>
    <xdr:from>
      <xdr:col>7</xdr:col>
      <xdr:colOff>906780</xdr:colOff>
      <xdr:row>108</xdr:row>
      <xdr:rowOff>121920</xdr:rowOff>
    </xdr:from>
    <xdr:to>
      <xdr:col>14</xdr:col>
      <xdr:colOff>815340</xdr:colOff>
      <xdr:row>111</xdr:row>
      <xdr:rowOff>762000</xdr:rowOff>
    </xdr:to>
    <xdr:sp macro="" textlink="">
      <xdr:nvSpPr>
        <xdr:cNvPr id="41" name="Rounded Rectangle 40"/>
        <xdr:cNvSpPr>
          <a:spLocks/>
        </xdr:cNvSpPr>
      </xdr:nvSpPr>
      <xdr:spPr>
        <a:xfrm>
          <a:off x="5753100" y="41224200"/>
          <a:ext cx="7315200"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rPr>
            <a:t>PLAN VIEW</a:t>
          </a:r>
        </a:p>
      </xdr:txBody>
    </xdr:sp>
    <xdr:clientData/>
  </xdr:twoCellAnchor>
  <xdr:twoCellAnchor>
    <xdr:from>
      <xdr:col>3</xdr:col>
      <xdr:colOff>0</xdr:colOff>
      <xdr:row>135</xdr:row>
      <xdr:rowOff>121920</xdr:rowOff>
    </xdr:from>
    <xdr:to>
      <xdr:col>9</xdr:col>
      <xdr:colOff>1157830</xdr:colOff>
      <xdr:row>138</xdr:row>
      <xdr:rowOff>762000</xdr:rowOff>
    </xdr:to>
    <xdr:sp macro="" textlink="">
      <xdr:nvSpPr>
        <xdr:cNvPr id="44" name="Rounded Rectangle 43"/>
        <xdr:cNvSpPr>
          <a:spLocks noChangeAspect="1"/>
        </xdr:cNvSpPr>
      </xdr:nvSpPr>
      <xdr:spPr>
        <a:xfrm>
          <a:off x="982980" y="51145440"/>
          <a:ext cx="7215730" cy="3383280"/>
        </a:xfrm>
        <a:prstGeom prst="roundRect">
          <a:avLst/>
        </a:prstGeom>
        <a:blipFill>
          <a:blip xmlns:r="http://schemas.openxmlformats.org/officeDocument/2006/relationships" r:embed="rId12"/>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9</xdr:col>
      <xdr:colOff>1577349</xdr:colOff>
      <xdr:row>135</xdr:row>
      <xdr:rowOff>556260</xdr:rowOff>
    </xdr:from>
    <xdr:to>
      <xdr:col>14</xdr:col>
      <xdr:colOff>988195</xdr:colOff>
      <xdr:row>138</xdr:row>
      <xdr:rowOff>556260</xdr:rowOff>
    </xdr:to>
    <xdr:pic>
      <xdr:nvPicPr>
        <xdr:cNvPr id="45" name="Picture 44"/>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618229" y="51579780"/>
          <a:ext cx="4622926" cy="2743200"/>
        </a:xfrm>
        <a:prstGeom prst="rect">
          <a:avLst/>
        </a:prstGeom>
      </xdr:spPr>
    </xdr:pic>
    <xdr:clientData/>
  </xdr:twoCellAnchor>
  <xdr:twoCellAnchor>
    <xdr:from>
      <xdr:col>9</xdr:col>
      <xdr:colOff>1310640</xdr:colOff>
      <xdr:row>135</xdr:row>
      <xdr:rowOff>121920</xdr:rowOff>
    </xdr:from>
    <xdr:to>
      <xdr:col>14</xdr:col>
      <xdr:colOff>1310640</xdr:colOff>
      <xdr:row>138</xdr:row>
      <xdr:rowOff>762000</xdr:rowOff>
    </xdr:to>
    <xdr:sp macro="" textlink="">
      <xdr:nvSpPr>
        <xdr:cNvPr id="47" name="Rounded Rectangle 46"/>
        <xdr:cNvSpPr>
          <a:spLocks noChangeAspect="1"/>
        </xdr:cNvSpPr>
      </xdr:nvSpPr>
      <xdr:spPr>
        <a:xfrm>
          <a:off x="8351520" y="51145440"/>
          <a:ext cx="5212080"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160</xdr:row>
      <xdr:rowOff>121920</xdr:rowOff>
    </xdr:from>
    <xdr:to>
      <xdr:col>8</xdr:col>
      <xdr:colOff>173334</xdr:colOff>
      <xdr:row>163</xdr:row>
      <xdr:rowOff>762000</xdr:rowOff>
    </xdr:to>
    <xdr:sp macro="" textlink="">
      <xdr:nvSpPr>
        <xdr:cNvPr id="51" name="Rounded Rectangle 50"/>
        <xdr:cNvSpPr>
          <a:spLocks noChangeAspect="1"/>
        </xdr:cNvSpPr>
      </xdr:nvSpPr>
      <xdr:spPr>
        <a:xfrm>
          <a:off x="982980" y="61020960"/>
          <a:ext cx="5133954" cy="3383280"/>
        </a:xfrm>
        <a:prstGeom prst="roundRect">
          <a:avLst/>
        </a:prstGeom>
        <a:blipFill>
          <a:blip xmlns:r="http://schemas.openxmlformats.org/officeDocument/2006/relationships" r:embed="rId14"/>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758088</xdr:colOff>
      <xdr:row>160</xdr:row>
      <xdr:rowOff>464820</xdr:rowOff>
    </xdr:from>
    <xdr:to>
      <xdr:col>11</xdr:col>
      <xdr:colOff>129921</xdr:colOff>
      <xdr:row>163</xdr:row>
      <xdr:rowOff>464820</xdr:rowOff>
    </xdr:to>
    <xdr:pic>
      <xdr:nvPicPr>
        <xdr:cNvPr id="52" name="Picture 51"/>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val="0"/>
            </a:ext>
          </a:extLst>
        </a:blip>
        <a:stretch>
          <a:fillRect/>
        </a:stretch>
      </xdr:blipFill>
      <xdr:spPr>
        <a:xfrm>
          <a:off x="6701688" y="61363860"/>
          <a:ext cx="3753333" cy="2743200"/>
        </a:xfrm>
        <a:prstGeom prst="rect">
          <a:avLst/>
        </a:prstGeom>
      </xdr:spPr>
    </xdr:pic>
    <xdr:clientData/>
  </xdr:twoCellAnchor>
  <xdr:twoCellAnchor>
    <xdr:from>
      <xdr:col>8</xdr:col>
      <xdr:colOff>320043</xdr:colOff>
      <xdr:row>160</xdr:row>
      <xdr:rowOff>144780</xdr:rowOff>
    </xdr:from>
    <xdr:to>
      <xdr:col>11</xdr:col>
      <xdr:colOff>567965</xdr:colOff>
      <xdr:row>163</xdr:row>
      <xdr:rowOff>784860</xdr:rowOff>
    </xdr:to>
    <xdr:sp macro="" textlink="">
      <xdr:nvSpPr>
        <xdr:cNvPr id="53" name="Rounded Rectangle 52"/>
        <xdr:cNvSpPr>
          <a:spLocks noChangeAspect="1"/>
        </xdr:cNvSpPr>
      </xdr:nvSpPr>
      <xdr:spPr>
        <a:xfrm>
          <a:off x="6263643" y="61043820"/>
          <a:ext cx="4629422"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rPr>
            <a:t>PLAN VIEW</a:t>
          </a:r>
        </a:p>
      </xdr:txBody>
    </xdr:sp>
    <xdr:clientData/>
  </xdr:twoCellAnchor>
  <xdr:twoCellAnchor>
    <xdr:from>
      <xdr:col>3</xdr:col>
      <xdr:colOff>0</xdr:colOff>
      <xdr:row>187</xdr:row>
      <xdr:rowOff>121920</xdr:rowOff>
    </xdr:from>
    <xdr:to>
      <xdr:col>9</xdr:col>
      <xdr:colOff>1094914</xdr:colOff>
      <xdr:row>190</xdr:row>
      <xdr:rowOff>762000</xdr:rowOff>
    </xdr:to>
    <xdr:sp macro="" textlink="">
      <xdr:nvSpPr>
        <xdr:cNvPr id="56" name="Rounded Rectangle 55"/>
        <xdr:cNvSpPr>
          <a:spLocks noChangeAspect="1"/>
        </xdr:cNvSpPr>
      </xdr:nvSpPr>
      <xdr:spPr>
        <a:xfrm>
          <a:off x="982980" y="70942200"/>
          <a:ext cx="7152814" cy="3383280"/>
        </a:xfrm>
        <a:prstGeom prst="roundRect">
          <a:avLst/>
        </a:prstGeom>
        <a:blipFill>
          <a:blip xmlns:r="http://schemas.openxmlformats.org/officeDocument/2006/relationships" r:embed="rId16"/>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9</xdr:col>
      <xdr:colOff>1669301</xdr:colOff>
      <xdr:row>187</xdr:row>
      <xdr:rowOff>441960</xdr:rowOff>
    </xdr:from>
    <xdr:to>
      <xdr:col>14</xdr:col>
      <xdr:colOff>51601</xdr:colOff>
      <xdr:row>190</xdr:row>
      <xdr:rowOff>441960</xdr:rowOff>
    </xdr:to>
    <xdr:pic>
      <xdr:nvPicPr>
        <xdr:cNvPr id="57" name="Picture 56"/>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val="0"/>
            </a:ext>
          </a:extLst>
        </a:blip>
        <a:stretch>
          <a:fillRect/>
        </a:stretch>
      </xdr:blipFill>
      <xdr:spPr>
        <a:xfrm>
          <a:off x="8710181" y="71262240"/>
          <a:ext cx="3594380" cy="2743200"/>
        </a:xfrm>
        <a:prstGeom prst="rect">
          <a:avLst/>
        </a:prstGeom>
      </xdr:spPr>
    </xdr:pic>
    <xdr:clientData/>
  </xdr:twoCellAnchor>
  <xdr:twoCellAnchor>
    <xdr:from>
      <xdr:col>9</xdr:col>
      <xdr:colOff>1249681</xdr:colOff>
      <xdr:row>187</xdr:row>
      <xdr:rowOff>121920</xdr:rowOff>
    </xdr:from>
    <xdr:to>
      <xdr:col>14</xdr:col>
      <xdr:colOff>471222</xdr:colOff>
      <xdr:row>190</xdr:row>
      <xdr:rowOff>762000</xdr:rowOff>
    </xdr:to>
    <xdr:sp macro="" textlink="">
      <xdr:nvSpPr>
        <xdr:cNvPr id="59" name="Rounded Rectangle 58"/>
        <xdr:cNvSpPr>
          <a:spLocks noChangeAspect="1"/>
        </xdr:cNvSpPr>
      </xdr:nvSpPr>
      <xdr:spPr>
        <a:xfrm>
          <a:off x="8290561" y="70942200"/>
          <a:ext cx="4433621"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214</xdr:row>
      <xdr:rowOff>121920</xdr:rowOff>
    </xdr:from>
    <xdr:to>
      <xdr:col>7</xdr:col>
      <xdr:colOff>822650</xdr:colOff>
      <xdr:row>217</xdr:row>
      <xdr:rowOff>762000</xdr:rowOff>
    </xdr:to>
    <xdr:sp macro="" textlink="">
      <xdr:nvSpPr>
        <xdr:cNvPr id="62" name="Rounded Rectangle 61"/>
        <xdr:cNvSpPr>
          <a:spLocks noChangeAspect="1"/>
        </xdr:cNvSpPr>
      </xdr:nvSpPr>
      <xdr:spPr>
        <a:xfrm>
          <a:off x="982980" y="80863440"/>
          <a:ext cx="4685990" cy="3383280"/>
        </a:xfrm>
        <a:prstGeom prst="roundRect">
          <a:avLst/>
        </a:prstGeom>
        <a:blipFill>
          <a:blip xmlns:r="http://schemas.openxmlformats.org/officeDocument/2006/relationships" r:embed="rId18"/>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146736</xdr:colOff>
      <xdr:row>214</xdr:row>
      <xdr:rowOff>518160</xdr:rowOff>
    </xdr:from>
    <xdr:to>
      <xdr:col>11</xdr:col>
      <xdr:colOff>815340</xdr:colOff>
      <xdr:row>217</xdr:row>
      <xdr:rowOff>518160</xdr:rowOff>
    </xdr:to>
    <xdr:pic>
      <xdr:nvPicPr>
        <xdr:cNvPr id="63" name="Picture 62"/>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val="0"/>
            </a:ext>
          </a:extLst>
        </a:blip>
        <a:stretch>
          <a:fillRect/>
        </a:stretch>
      </xdr:blipFill>
      <xdr:spPr>
        <a:xfrm>
          <a:off x="6090336" y="81259680"/>
          <a:ext cx="5050104" cy="2743200"/>
        </a:xfrm>
        <a:prstGeom prst="rect">
          <a:avLst/>
        </a:prstGeom>
      </xdr:spPr>
    </xdr:pic>
    <xdr:clientData/>
  </xdr:twoCellAnchor>
  <xdr:twoCellAnchor>
    <xdr:from>
      <xdr:col>7</xdr:col>
      <xdr:colOff>967740</xdr:colOff>
      <xdr:row>214</xdr:row>
      <xdr:rowOff>121920</xdr:rowOff>
    </xdr:from>
    <xdr:to>
      <xdr:col>13</xdr:col>
      <xdr:colOff>373380</xdr:colOff>
      <xdr:row>217</xdr:row>
      <xdr:rowOff>762000</xdr:rowOff>
    </xdr:to>
    <xdr:sp macro="" textlink="">
      <xdr:nvSpPr>
        <xdr:cNvPr id="65" name="Rounded Rectangle 64"/>
        <xdr:cNvSpPr>
          <a:spLocks/>
        </xdr:cNvSpPr>
      </xdr:nvSpPr>
      <xdr:spPr>
        <a:xfrm>
          <a:off x="5814060" y="80863440"/>
          <a:ext cx="5760720"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2</xdr:col>
      <xdr:colOff>0</xdr:colOff>
      <xdr:row>5</xdr:row>
      <xdr:rowOff>670560</xdr:rowOff>
    </xdr:from>
    <xdr:to>
      <xdr:col>3</xdr:col>
      <xdr:colOff>60960</xdr:colOff>
      <xdr:row>6</xdr:row>
      <xdr:rowOff>213360</xdr:rowOff>
    </xdr:to>
    <xdr:sp macro="" textlink="">
      <xdr:nvSpPr>
        <xdr:cNvPr id="38" name="Oval 37"/>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5</xdr:row>
      <xdr:rowOff>0</xdr:rowOff>
    </xdr:from>
    <xdr:to>
      <xdr:col>3</xdr:col>
      <xdr:colOff>60960</xdr:colOff>
      <xdr:row>5</xdr:row>
      <xdr:rowOff>457200</xdr:rowOff>
    </xdr:to>
    <xdr:sp macro="" textlink="">
      <xdr:nvSpPr>
        <xdr:cNvPr id="39" name="Oval 38"/>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441960</xdr:rowOff>
    </xdr:from>
    <xdr:to>
      <xdr:col>3</xdr:col>
      <xdr:colOff>60960</xdr:colOff>
      <xdr:row>6</xdr:row>
      <xdr:rowOff>899160</xdr:rowOff>
    </xdr:to>
    <xdr:sp macro="" textlink="">
      <xdr:nvSpPr>
        <xdr:cNvPr id="42" name="Oval 41"/>
        <xdr:cNvSpPr/>
      </xdr:nvSpPr>
      <xdr:spPr>
        <a:xfrm>
          <a:off x="586740" y="37795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899160</xdr:rowOff>
    </xdr:from>
    <xdr:to>
      <xdr:col>4</xdr:col>
      <xdr:colOff>312420</xdr:colOff>
      <xdr:row>5</xdr:row>
      <xdr:rowOff>899160</xdr:rowOff>
    </xdr:to>
    <xdr:cxnSp macro="">
      <xdr:nvCxnSpPr>
        <xdr:cNvPr id="43" name="Straight Arrow Connector 42"/>
        <xdr:cNvCxnSpPr>
          <a:stCxn id="38" idx="6"/>
        </xdr:cNvCxnSpPr>
      </xdr:nvCxnSpPr>
      <xdr:spPr>
        <a:xfrm>
          <a:off x="1043940" y="3322320"/>
          <a:ext cx="22250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228600</xdr:rowOff>
    </xdr:from>
    <xdr:to>
      <xdr:col>6</xdr:col>
      <xdr:colOff>216877</xdr:colOff>
      <xdr:row>5</xdr:row>
      <xdr:rowOff>228600</xdr:rowOff>
    </xdr:to>
    <xdr:cxnSp macro="">
      <xdr:nvCxnSpPr>
        <xdr:cNvPr id="46" name="Straight Arrow Connector 45"/>
        <xdr:cNvCxnSpPr>
          <a:stCxn id="39" idx="6"/>
        </xdr:cNvCxnSpPr>
      </xdr:nvCxnSpPr>
      <xdr:spPr>
        <a:xfrm>
          <a:off x="1043940" y="2651760"/>
          <a:ext cx="2921977"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655320</xdr:rowOff>
    </xdr:from>
    <xdr:to>
      <xdr:col>5</xdr:col>
      <xdr:colOff>22860</xdr:colOff>
      <xdr:row>6</xdr:row>
      <xdr:rowOff>670560</xdr:rowOff>
    </xdr:to>
    <xdr:cxnSp macro="">
      <xdr:nvCxnSpPr>
        <xdr:cNvPr id="49" name="Straight Arrow Connector 48"/>
        <xdr:cNvCxnSpPr>
          <a:stCxn id="42" idx="6"/>
        </xdr:cNvCxnSpPr>
      </xdr:nvCxnSpPr>
      <xdr:spPr>
        <a:xfrm flipV="1">
          <a:off x="1043940" y="3992880"/>
          <a:ext cx="2331720" cy="1524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31</xdr:row>
      <xdr:rowOff>335280</xdr:rowOff>
    </xdr:from>
    <xdr:to>
      <xdr:col>3</xdr:col>
      <xdr:colOff>60960</xdr:colOff>
      <xdr:row>31</xdr:row>
      <xdr:rowOff>792480</xdr:rowOff>
    </xdr:to>
    <xdr:sp macro="" textlink="">
      <xdr:nvSpPr>
        <xdr:cNvPr id="50" name="Oval 49"/>
        <xdr:cNvSpPr/>
      </xdr:nvSpPr>
      <xdr:spPr>
        <a:xfrm>
          <a:off x="586740" y="126568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30</xdr:row>
      <xdr:rowOff>579120</xdr:rowOff>
    </xdr:from>
    <xdr:to>
      <xdr:col>3</xdr:col>
      <xdr:colOff>60960</xdr:colOff>
      <xdr:row>31</xdr:row>
      <xdr:rowOff>121920</xdr:rowOff>
    </xdr:to>
    <xdr:sp macro="" textlink="">
      <xdr:nvSpPr>
        <xdr:cNvPr id="54" name="Oval 53"/>
        <xdr:cNvSpPr/>
      </xdr:nvSpPr>
      <xdr:spPr>
        <a:xfrm>
          <a:off x="586740" y="119862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32</xdr:row>
      <xdr:rowOff>106680</xdr:rowOff>
    </xdr:from>
    <xdr:to>
      <xdr:col>3</xdr:col>
      <xdr:colOff>60960</xdr:colOff>
      <xdr:row>32</xdr:row>
      <xdr:rowOff>563880</xdr:rowOff>
    </xdr:to>
    <xdr:sp macro="" textlink="">
      <xdr:nvSpPr>
        <xdr:cNvPr id="55" name="Oval 54"/>
        <xdr:cNvSpPr/>
      </xdr:nvSpPr>
      <xdr:spPr>
        <a:xfrm>
          <a:off x="586740" y="133426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76200</xdr:colOff>
      <xdr:row>31</xdr:row>
      <xdr:rowOff>807720</xdr:rowOff>
    </xdr:from>
    <xdr:to>
      <xdr:col>6</xdr:col>
      <xdr:colOff>251460</xdr:colOff>
      <xdr:row>32</xdr:row>
      <xdr:rowOff>350520</xdr:rowOff>
    </xdr:to>
    <xdr:cxnSp macro="">
      <xdr:nvCxnSpPr>
        <xdr:cNvPr id="60" name="Elbow Connector 59"/>
        <xdr:cNvCxnSpPr/>
      </xdr:nvCxnSpPr>
      <xdr:spPr>
        <a:xfrm flipV="1">
          <a:off x="1059180" y="13129260"/>
          <a:ext cx="2941320" cy="457200"/>
        </a:xfrm>
        <a:prstGeom prst="bentConnector3">
          <a:avLst>
            <a:gd name="adj1" fmla="val 100259"/>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32</xdr:row>
      <xdr:rowOff>771526</xdr:rowOff>
    </xdr:from>
    <xdr:to>
      <xdr:col>3</xdr:col>
      <xdr:colOff>60960</xdr:colOff>
      <xdr:row>33</xdr:row>
      <xdr:rowOff>314326</xdr:rowOff>
    </xdr:to>
    <xdr:sp macro="" textlink="">
      <xdr:nvSpPr>
        <xdr:cNvPr id="61" name="Oval 60"/>
        <xdr:cNvSpPr/>
      </xdr:nvSpPr>
      <xdr:spPr>
        <a:xfrm>
          <a:off x="586740" y="1400746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31</xdr:row>
      <xdr:rowOff>716280</xdr:rowOff>
    </xdr:from>
    <xdr:to>
      <xdr:col>6</xdr:col>
      <xdr:colOff>1066800</xdr:colOff>
      <xdr:row>33</xdr:row>
      <xdr:rowOff>85726</xdr:rowOff>
    </xdr:to>
    <xdr:cxnSp macro="">
      <xdr:nvCxnSpPr>
        <xdr:cNvPr id="66" name="Elbow Connector 65"/>
        <xdr:cNvCxnSpPr>
          <a:stCxn id="61" idx="6"/>
        </xdr:cNvCxnSpPr>
      </xdr:nvCxnSpPr>
      <xdr:spPr>
        <a:xfrm flipV="1">
          <a:off x="1043940" y="13037820"/>
          <a:ext cx="3771900" cy="1198246"/>
        </a:xfrm>
        <a:prstGeom prst="bentConnector3">
          <a:avLst>
            <a:gd name="adj1" fmla="val 99899"/>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30</xdr:row>
      <xdr:rowOff>800100</xdr:rowOff>
    </xdr:from>
    <xdr:to>
      <xdr:col>3</xdr:col>
      <xdr:colOff>586740</xdr:colOff>
      <xdr:row>30</xdr:row>
      <xdr:rowOff>807720</xdr:rowOff>
    </xdr:to>
    <xdr:cxnSp macro="">
      <xdr:nvCxnSpPr>
        <xdr:cNvPr id="67" name="Straight Arrow Connector 66"/>
        <xdr:cNvCxnSpPr>
          <a:stCxn id="54" idx="6"/>
        </xdr:cNvCxnSpPr>
      </xdr:nvCxnSpPr>
      <xdr:spPr>
        <a:xfrm flipV="1">
          <a:off x="1043940" y="12207240"/>
          <a:ext cx="525780" cy="762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31</xdr:row>
      <xdr:rowOff>152400</xdr:rowOff>
    </xdr:from>
    <xdr:to>
      <xdr:col>3</xdr:col>
      <xdr:colOff>1203960</xdr:colOff>
      <xdr:row>31</xdr:row>
      <xdr:rowOff>563880</xdr:rowOff>
    </xdr:to>
    <xdr:cxnSp macro="">
      <xdr:nvCxnSpPr>
        <xdr:cNvPr id="68" name="Elbow Connector 67"/>
        <xdr:cNvCxnSpPr>
          <a:stCxn id="50" idx="6"/>
        </xdr:cNvCxnSpPr>
      </xdr:nvCxnSpPr>
      <xdr:spPr>
        <a:xfrm flipV="1">
          <a:off x="1043940" y="12473940"/>
          <a:ext cx="1143000" cy="41148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56</xdr:row>
      <xdr:rowOff>670560</xdr:rowOff>
    </xdr:from>
    <xdr:to>
      <xdr:col>3</xdr:col>
      <xdr:colOff>60960</xdr:colOff>
      <xdr:row>57</xdr:row>
      <xdr:rowOff>213360</xdr:rowOff>
    </xdr:to>
    <xdr:sp macro="" textlink="">
      <xdr:nvSpPr>
        <xdr:cNvPr id="73" name="Oval 72"/>
        <xdr:cNvSpPr/>
      </xdr:nvSpPr>
      <xdr:spPr>
        <a:xfrm>
          <a:off x="586740" y="228676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56</xdr:row>
      <xdr:rowOff>0</xdr:rowOff>
    </xdr:from>
    <xdr:to>
      <xdr:col>3</xdr:col>
      <xdr:colOff>60960</xdr:colOff>
      <xdr:row>56</xdr:row>
      <xdr:rowOff>457200</xdr:rowOff>
    </xdr:to>
    <xdr:sp macro="" textlink="">
      <xdr:nvSpPr>
        <xdr:cNvPr id="74" name="Oval 73"/>
        <xdr:cNvSpPr/>
      </xdr:nvSpPr>
      <xdr:spPr>
        <a:xfrm>
          <a:off x="586740" y="221970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57</xdr:row>
      <xdr:rowOff>441960</xdr:rowOff>
    </xdr:from>
    <xdr:to>
      <xdr:col>3</xdr:col>
      <xdr:colOff>60960</xdr:colOff>
      <xdr:row>57</xdr:row>
      <xdr:rowOff>899160</xdr:rowOff>
    </xdr:to>
    <xdr:sp macro="" textlink="">
      <xdr:nvSpPr>
        <xdr:cNvPr id="75" name="Oval 74"/>
        <xdr:cNvSpPr/>
      </xdr:nvSpPr>
      <xdr:spPr>
        <a:xfrm>
          <a:off x="586740" y="235534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56</xdr:row>
      <xdr:rowOff>899160</xdr:rowOff>
    </xdr:from>
    <xdr:to>
      <xdr:col>3</xdr:col>
      <xdr:colOff>784860</xdr:colOff>
      <xdr:row>56</xdr:row>
      <xdr:rowOff>899160</xdr:rowOff>
    </xdr:to>
    <xdr:cxnSp macro="">
      <xdr:nvCxnSpPr>
        <xdr:cNvPr id="76" name="Straight Arrow Connector 75"/>
        <xdr:cNvCxnSpPr>
          <a:stCxn id="73" idx="6"/>
        </xdr:cNvCxnSpPr>
      </xdr:nvCxnSpPr>
      <xdr:spPr>
        <a:xfrm>
          <a:off x="1043940" y="23096220"/>
          <a:ext cx="72390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56</xdr:row>
      <xdr:rowOff>228600</xdr:rowOff>
    </xdr:from>
    <xdr:to>
      <xdr:col>6</xdr:col>
      <xdr:colOff>640080</xdr:colOff>
      <xdr:row>56</xdr:row>
      <xdr:rowOff>228600</xdr:rowOff>
    </xdr:to>
    <xdr:cxnSp macro="">
      <xdr:nvCxnSpPr>
        <xdr:cNvPr id="77" name="Straight Arrow Connector 76"/>
        <xdr:cNvCxnSpPr>
          <a:stCxn id="74" idx="6"/>
        </xdr:cNvCxnSpPr>
      </xdr:nvCxnSpPr>
      <xdr:spPr>
        <a:xfrm>
          <a:off x="1043940" y="22425660"/>
          <a:ext cx="334518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56</xdr:row>
      <xdr:rowOff>678180</xdr:rowOff>
    </xdr:from>
    <xdr:to>
      <xdr:col>4</xdr:col>
      <xdr:colOff>190500</xdr:colOff>
      <xdr:row>57</xdr:row>
      <xdr:rowOff>670560</xdr:rowOff>
    </xdr:to>
    <xdr:cxnSp macro="">
      <xdr:nvCxnSpPr>
        <xdr:cNvPr id="81" name="Elbow Connector 80"/>
        <xdr:cNvCxnSpPr>
          <a:stCxn id="75" idx="6"/>
        </xdr:cNvCxnSpPr>
      </xdr:nvCxnSpPr>
      <xdr:spPr>
        <a:xfrm flipV="1">
          <a:off x="1043940" y="22875240"/>
          <a:ext cx="2103120" cy="906780"/>
        </a:xfrm>
        <a:prstGeom prst="bentConnector3">
          <a:avLst>
            <a:gd name="adj1" fmla="val 6666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82</xdr:row>
      <xdr:rowOff>670560</xdr:rowOff>
    </xdr:from>
    <xdr:to>
      <xdr:col>3</xdr:col>
      <xdr:colOff>60960</xdr:colOff>
      <xdr:row>83</xdr:row>
      <xdr:rowOff>213360</xdr:rowOff>
    </xdr:to>
    <xdr:sp macro="" textlink="">
      <xdr:nvSpPr>
        <xdr:cNvPr id="85" name="Oval 84"/>
        <xdr:cNvSpPr/>
      </xdr:nvSpPr>
      <xdr:spPr>
        <a:xfrm>
          <a:off x="586740" y="327660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82</xdr:row>
      <xdr:rowOff>0</xdr:rowOff>
    </xdr:from>
    <xdr:to>
      <xdr:col>3</xdr:col>
      <xdr:colOff>60960</xdr:colOff>
      <xdr:row>82</xdr:row>
      <xdr:rowOff>457200</xdr:rowOff>
    </xdr:to>
    <xdr:sp macro="" textlink="">
      <xdr:nvSpPr>
        <xdr:cNvPr id="86" name="Oval 85"/>
        <xdr:cNvSpPr/>
      </xdr:nvSpPr>
      <xdr:spPr>
        <a:xfrm>
          <a:off x="586740" y="32095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82</xdr:row>
      <xdr:rowOff>899160</xdr:rowOff>
    </xdr:from>
    <xdr:to>
      <xdr:col>3</xdr:col>
      <xdr:colOff>1196340</xdr:colOff>
      <xdr:row>82</xdr:row>
      <xdr:rowOff>899160</xdr:rowOff>
    </xdr:to>
    <xdr:cxnSp macro="">
      <xdr:nvCxnSpPr>
        <xdr:cNvPr id="88" name="Straight Connector 87"/>
        <xdr:cNvCxnSpPr>
          <a:stCxn id="85" idx="6"/>
        </xdr:cNvCxnSpPr>
      </xdr:nvCxnSpPr>
      <xdr:spPr>
        <a:xfrm>
          <a:off x="1043940" y="32994600"/>
          <a:ext cx="113538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82</xdr:row>
      <xdr:rowOff>228600</xdr:rowOff>
    </xdr:from>
    <xdr:to>
      <xdr:col>6</xdr:col>
      <xdr:colOff>304800</xdr:colOff>
      <xdr:row>82</xdr:row>
      <xdr:rowOff>228600</xdr:rowOff>
    </xdr:to>
    <xdr:cxnSp macro="">
      <xdr:nvCxnSpPr>
        <xdr:cNvPr id="90" name="Straight Connector 89"/>
        <xdr:cNvCxnSpPr>
          <a:stCxn id="86" idx="6"/>
        </xdr:cNvCxnSpPr>
      </xdr:nvCxnSpPr>
      <xdr:spPr>
        <a:xfrm>
          <a:off x="1043940" y="32324040"/>
          <a:ext cx="300990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109</xdr:row>
      <xdr:rowOff>670560</xdr:rowOff>
    </xdr:from>
    <xdr:to>
      <xdr:col>3</xdr:col>
      <xdr:colOff>60960</xdr:colOff>
      <xdr:row>110</xdr:row>
      <xdr:rowOff>213360</xdr:rowOff>
    </xdr:to>
    <xdr:sp macro="" textlink="">
      <xdr:nvSpPr>
        <xdr:cNvPr id="95" name="Oval 94"/>
        <xdr:cNvSpPr/>
      </xdr:nvSpPr>
      <xdr:spPr>
        <a:xfrm>
          <a:off x="586740" y="42687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109</xdr:row>
      <xdr:rowOff>0</xdr:rowOff>
    </xdr:from>
    <xdr:to>
      <xdr:col>3</xdr:col>
      <xdr:colOff>60960</xdr:colOff>
      <xdr:row>109</xdr:row>
      <xdr:rowOff>457200</xdr:rowOff>
    </xdr:to>
    <xdr:sp macro="" textlink="">
      <xdr:nvSpPr>
        <xdr:cNvPr id="96" name="Oval 95"/>
        <xdr:cNvSpPr/>
      </xdr:nvSpPr>
      <xdr:spPr>
        <a:xfrm>
          <a:off x="586740" y="420166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109</xdr:row>
      <xdr:rowOff>899160</xdr:rowOff>
    </xdr:from>
    <xdr:to>
      <xdr:col>3</xdr:col>
      <xdr:colOff>1196340</xdr:colOff>
      <xdr:row>109</xdr:row>
      <xdr:rowOff>899160</xdr:rowOff>
    </xdr:to>
    <xdr:cxnSp macro="">
      <xdr:nvCxnSpPr>
        <xdr:cNvPr id="97" name="Straight Connector 96"/>
        <xdr:cNvCxnSpPr>
          <a:stCxn id="95" idx="6"/>
        </xdr:cNvCxnSpPr>
      </xdr:nvCxnSpPr>
      <xdr:spPr>
        <a:xfrm>
          <a:off x="1043940" y="42915840"/>
          <a:ext cx="113538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109</xdr:row>
      <xdr:rowOff>228600</xdr:rowOff>
    </xdr:from>
    <xdr:to>
      <xdr:col>5</xdr:col>
      <xdr:colOff>266700</xdr:colOff>
      <xdr:row>109</xdr:row>
      <xdr:rowOff>228600</xdr:rowOff>
    </xdr:to>
    <xdr:cxnSp macro="">
      <xdr:nvCxnSpPr>
        <xdr:cNvPr id="98" name="Straight Connector 97"/>
        <xdr:cNvCxnSpPr>
          <a:stCxn id="96" idx="6"/>
        </xdr:cNvCxnSpPr>
      </xdr:nvCxnSpPr>
      <xdr:spPr>
        <a:xfrm>
          <a:off x="1043940" y="42245280"/>
          <a:ext cx="257556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136</xdr:row>
      <xdr:rowOff>335280</xdr:rowOff>
    </xdr:from>
    <xdr:to>
      <xdr:col>3</xdr:col>
      <xdr:colOff>60960</xdr:colOff>
      <xdr:row>136</xdr:row>
      <xdr:rowOff>792480</xdr:rowOff>
    </xdr:to>
    <xdr:sp macro="" textlink="">
      <xdr:nvSpPr>
        <xdr:cNvPr id="100" name="Oval 99"/>
        <xdr:cNvSpPr/>
      </xdr:nvSpPr>
      <xdr:spPr>
        <a:xfrm>
          <a:off x="586740" y="522732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135</xdr:row>
      <xdr:rowOff>579120</xdr:rowOff>
    </xdr:from>
    <xdr:to>
      <xdr:col>3</xdr:col>
      <xdr:colOff>60960</xdr:colOff>
      <xdr:row>136</xdr:row>
      <xdr:rowOff>121920</xdr:rowOff>
    </xdr:to>
    <xdr:sp macro="" textlink="">
      <xdr:nvSpPr>
        <xdr:cNvPr id="101" name="Oval 100"/>
        <xdr:cNvSpPr/>
      </xdr:nvSpPr>
      <xdr:spPr>
        <a:xfrm>
          <a:off x="586740" y="516026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137</xdr:row>
      <xdr:rowOff>106680</xdr:rowOff>
    </xdr:from>
    <xdr:to>
      <xdr:col>3</xdr:col>
      <xdr:colOff>60960</xdr:colOff>
      <xdr:row>137</xdr:row>
      <xdr:rowOff>563880</xdr:rowOff>
    </xdr:to>
    <xdr:sp macro="" textlink="">
      <xdr:nvSpPr>
        <xdr:cNvPr id="102" name="Oval 101"/>
        <xdr:cNvSpPr/>
      </xdr:nvSpPr>
      <xdr:spPr>
        <a:xfrm>
          <a:off x="586740" y="529590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76200</xdr:colOff>
      <xdr:row>136</xdr:row>
      <xdr:rowOff>815340</xdr:rowOff>
    </xdr:from>
    <xdr:to>
      <xdr:col>3</xdr:col>
      <xdr:colOff>922020</xdr:colOff>
      <xdr:row>137</xdr:row>
      <xdr:rowOff>350520</xdr:rowOff>
    </xdr:to>
    <xdr:cxnSp macro="">
      <xdr:nvCxnSpPr>
        <xdr:cNvPr id="103" name="Elbow Connector 102"/>
        <xdr:cNvCxnSpPr/>
      </xdr:nvCxnSpPr>
      <xdr:spPr>
        <a:xfrm flipV="1">
          <a:off x="1059180" y="52753260"/>
          <a:ext cx="845820" cy="449580"/>
        </a:xfrm>
        <a:prstGeom prst="bentConnector3">
          <a:avLst>
            <a:gd name="adj1" fmla="val 9955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137</xdr:row>
      <xdr:rowOff>771526</xdr:rowOff>
    </xdr:from>
    <xdr:to>
      <xdr:col>3</xdr:col>
      <xdr:colOff>60960</xdr:colOff>
      <xdr:row>138</xdr:row>
      <xdr:rowOff>314326</xdr:rowOff>
    </xdr:to>
    <xdr:sp macro="" textlink="">
      <xdr:nvSpPr>
        <xdr:cNvPr id="104" name="Oval 103"/>
        <xdr:cNvSpPr/>
      </xdr:nvSpPr>
      <xdr:spPr>
        <a:xfrm>
          <a:off x="586740" y="5362384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136</xdr:row>
      <xdr:rowOff>495300</xdr:rowOff>
    </xdr:from>
    <xdr:to>
      <xdr:col>8</xdr:col>
      <xdr:colOff>1028700</xdr:colOff>
      <xdr:row>138</xdr:row>
      <xdr:rowOff>85726</xdr:rowOff>
    </xdr:to>
    <xdr:cxnSp macro="">
      <xdr:nvCxnSpPr>
        <xdr:cNvPr id="105" name="Elbow Connector 104"/>
        <xdr:cNvCxnSpPr>
          <a:stCxn id="104" idx="6"/>
        </xdr:cNvCxnSpPr>
      </xdr:nvCxnSpPr>
      <xdr:spPr>
        <a:xfrm flipV="1">
          <a:off x="1043940" y="52433220"/>
          <a:ext cx="5928360" cy="1419226"/>
        </a:xfrm>
        <a:prstGeom prst="bentConnector3">
          <a:avLst>
            <a:gd name="adj1" fmla="val 10025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135</xdr:row>
      <xdr:rowOff>807720</xdr:rowOff>
    </xdr:from>
    <xdr:to>
      <xdr:col>7</xdr:col>
      <xdr:colOff>975360</xdr:colOff>
      <xdr:row>136</xdr:row>
      <xdr:rowOff>327660</xdr:rowOff>
    </xdr:to>
    <xdr:cxnSp macro="">
      <xdr:nvCxnSpPr>
        <xdr:cNvPr id="115" name="Elbow Connector 114"/>
        <xdr:cNvCxnSpPr>
          <a:stCxn id="101" idx="6"/>
        </xdr:cNvCxnSpPr>
      </xdr:nvCxnSpPr>
      <xdr:spPr>
        <a:xfrm>
          <a:off x="1043940" y="51831240"/>
          <a:ext cx="4777740" cy="434340"/>
        </a:xfrm>
        <a:prstGeom prst="bentConnector3">
          <a:avLst>
            <a:gd name="adj1" fmla="val 10008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136</xdr:row>
      <xdr:rowOff>563880</xdr:rowOff>
    </xdr:from>
    <xdr:to>
      <xdr:col>7</xdr:col>
      <xdr:colOff>38100</xdr:colOff>
      <xdr:row>136</xdr:row>
      <xdr:rowOff>563880</xdr:rowOff>
    </xdr:to>
    <xdr:cxnSp macro="">
      <xdr:nvCxnSpPr>
        <xdr:cNvPr id="119" name="Straight Connector 118"/>
        <xdr:cNvCxnSpPr>
          <a:stCxn id="100" idx="6"/>
        </xdr:cNvCxnSpPr>
      </xdr:nvCxnSpPr>
      <xdr:spPr>
        <a:xfrm>
          <a:off x="1043940" y="52501800"/>
          <a:ext cx="384048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161</xdr:row>
      <xdr:rowOff>670560</xdr:rowOff>
    </xdr:from>
    <xdr:to>
      <xdr:col>3</xdr:col>
      <xdr:colOff>60960</xdr:colOff>
      <xdr:row>162</xdr:row>
      <xdr:rowOff>213360</xdr:rowOff>
    </xdr:to>
    <xdr:sp macro="" textlink="">
      <xdr:nvSpPr>
        <xdr:cNvPr id="123" name="Oval 122"/>
        <xdr:cNvSpPr/>
      </xdr:nvSpPr>
      <xdr:spPr>
        <a:xfrm>
          <a:off x="586740" y="624840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161</xdr:row>
      <xdr:rowOff>0</xdr:rowOff>
    </xdr:from>
    <xdr:to>
      <xdr:col>3</xdr:col>
      <xdr:colOff>60960</xdr:colOff>
      <xdr:row>161</xdr:row>
      <xdr:rowOff>457200</xdr:rowOff>
    </xdr:to>
    <xdr:sp macro="" textlink="">
      <xdr:nvSpPr>
        <xdr:cNvPr id="124" name="Oval 123"/>
        <xdr:cNvSpPr/>
      </xdr:nvSpPr>
      <xdr:spPr>
        <a:xfrm>
          <a:off x="586740" y="61813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161</xdr:row>
      <xdr:rowOff>899160</xdr:rowOff>
    </xdr:from>
    <xdr:to>
      <xdr:col>7</xdr:col>
      <xdr:colOff>106680</xdr:colOff>
      <xdr:row>161</xdr:row>
      <xdr:rowOff>899160</xdr:rowOff>
    </xdr:to>
    <xdr:cxnSp macro="">
      <xdr:nvCxnSpPr>
        <xdr:cNvPr id="125" name="Straight Connector 124"/>
        <xdr:cNvCxnSpPr>
          <a:stCxn id="123" idx="6"/>
        </xdr:cNvCxnSpPr>
      </xdr:nvCxnSpPr>
      <xdr:spPr>
        <a:xfrm>
          <a:off x="1043940" y="62712600"/>
          <a:ext cx="390906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161</xdr:row>
      <xdr:rowOff>228600</xdr:rowOff>
    </xdr:from>
    <xdr:to>
      <xdr:col>6</xdr:col>
      <xdr:colOff>53340</xdr:colOff>
      <xdr:row>161</xdr:row>
      <xdr:rowOff>228600</xdr:rowOff>
    </xdr:to>
    <xdr:cxnSp macro="">
      <xdr:nvCxnSpPr>
        <xdr:cNvPr id="126" name="Straight Connector 125"/>
        <xdr:cNvCxnSpPr>
          <a:stCxn id="124" idx="6"/>
        </xdr:cNvCxnSpPr>
      </xdr:nvCxnSpPr>
      <xdr:spPr>
        <a:xfrm>
          <a:off x="1043940" y="62042040"/>
          <a:ext cx="275844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188</xdr:row>
      <xdr:rowOff>670560</xdr:rowOff>
    </xdr:from>
    <xdr:to>
      <xdr:col>3</xdr:col>
      <xdr:colOff>60960</xdr:colOff>
      <xdr:row>189</xdr:row>
      <xdr:rowOff>213360</xdr:rowOff>
    </xdr:to>
    <xdr:sp macro="" textlink="">
      <xdr:nvSpPr>
        <xdr:cNvPr id="131" name="Oval 130"/>
        <xdr:cNvSpPr/>
      </xdr:nvSpPr>
      <xdr:spPr>
        <a:xfrm>
          <a:off x="586740" y="72405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188</xdr:row>
      <xdr:rowOff>0</xdr:rowOff>
    </xdr:from>
    <xdr:to>
      <xdr:col>3</xdr:col>
      <xdr:colOff>60960</xdr:colOff>
      <xdr:row>188</xdr:row>
      <xdr:rowOff>457200</xdr:rowOff>
    </xdr:to>
    <xdr:sp macro="" textlink="">
      <xdr:nvSpPr>
        <xdr:cNvPr id="132" name="Oval 131"/>
        <xdr:cNvSpPr/>
      </xdr:nvSpPr>
      <xdr:spPr>
        <a:xfrm>
          <a:off x="586740" y="717346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188</xdr:row>
      <xdr:rowOff>899160</xdr:rowOff>
    </xdr:from>
    <xdr:to>
      <xdr:col>6</xdr:col>
      <xdr:colOff>762000</xdr:colOff>
      <xdr:row>188</xdr:row>
      <xdr:rowOff>899160</xdr:rowOff>
    </xdr:to>
    <xdr:cxnSp macro="">
      <xdr:nvCxnSpPr>
        <xdr:cNvPr id="133" name="Straight Connector 132"/>
        <xdr:cNvCxnSpPr>
          <a:stCxn id="131" idx="6"/>
        </xdr:cNvCxnSpPr>
      </xdr:nvCxnSpPr>
      <xdr:spPr>
        <a:xfrm>
          <a:off x="1043940" y="72633840"/>
          <a:ext cx="346710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188</xdr:row>
      <xdr:rowOff>228600</xdr:rowOff>
    </xdr:from>
    <xdr:to>
      <xdr:col>3</xdr:col>
      <xdr:colOff>1203960</xdr:colOff>
      <xdr:row>188</xdr:row>
      <xdr:rowOff>228600</xdr:rowOff>
    </xdr:to>
    <xdr:cxnSp macro="">
      <xdr:nvCxnSpPr>
        <xdr:cNvPr id="134" name="Straight Connector 133"/>
        <xdr:cNvCxnSpPr>
          <a:stCxn id="132" idx="6"/>
        </xdr:cNvCxnSpPr>
      </xdr:nvCxnSpPr>
      <xdr:spPr>
        <a:xfrm>
          <a:off x="1043940" y="71963280"/>
          <a:ext cx="114300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215</xdr:row>
      <xdr:rowOff>670560</xdr:rowOff>
    </xdr:from>
    <xdr:to>
      <xdr:col>3</xdr:col>
      <xdr:colOff>60960</xdr:colOff>
      <xdr:row>216</xdr:row>
      <xdr:rowOff>213360</xdr:rowOff>
    </xdr:to>
    <xdr:sp macro="" textlink="">
      <xdr:nvSpPr>
        <xdr:cNvPr id="137" name="Oval 136"/>
        <xdr:cNvSpPr/>
      </xdr:nvSpPr>
      <xdr:spPr>
        <a:xfrm>
          <a:off x="586740" y="823264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215</xdr:row>
      <xdr:rowOff>0</xdr:rowOff>
    </xdr:from>
    <xdr:to>
      <xdr:col>3</xdr:col>
      <xdr:colOff>60960</xdr:colOff>
      <xdr:row>215</xdr:row>
      <xdr:rowOff>457200</xdr:rowOff>
    </xdr:to>
    <xdr:sp macro="" textlink="">
      <xdr:nvSpPr>
        <xdr:cNvPr id="138" name="Oval 137"/>
        <xdr:cNvSpPr/>
      </xdr:nvSpPr>
      <xdr:spPr>
        <a:xfrm>
          <a:off x="586740" y="816559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215</xdr:row>
      <xdr:rowOff>899160</xdr:rowOff>
    </xdr:from>
    <xdr:to>
      <xdr:col>7</xdr:col>
      <xdr:colOff>15240</xdr:colOff>
      <xdr:row>215</xdr:row>
      <xdr:rowOff>899160</xdr:rowOff>
    </xdr:to>
    <xdr:cxnSp macro="">
      <xdr:nvCxnSpPr>
        <xdr:cNvPr id="139" name="Straight Connector 138"/>
        <xdr:cNvCxnSpPr>
          <a:stCxn id="137" idx="6"/>
        </xdr:cNvCxnSpPr>
      </xdr:nvCxnSpPr>
      <xdr:spPr>
        <a:xfrm>
          <a:off x="1043940" y="82555080"/>
          <a:ext cx="381762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215</xdr:row>
      <xdr:rowOff>228600</xdr:rowOff>
    </xdr:from>
    <xdr:to>
      <xdr:col>3</xdr:col>
      <xdr:colOff>1203960</xdr:colOff>
      <xdr:row>215</xdr:row>
      <xdr:rowOff>228600</xdr:rowOff>
    </xdr:to>
    <xdr:cxnSp macro="">
      <xdr:nvCxnSpPr>
        <xdr:cNvPr id="140" name="Straight Connector 139"/>
        <xdr:cNvCxnSpPr>
          <a:stCxn id="138" idx="6"/>
        </xdr:cNvCxnSpPr>
      </xdr:nvCxnSpPr>
      <xdr:spPr>
        <a:xfrm>
          <a:off x="1043940" y="81884520"/>
          <a:ext cx="114300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3</xdr:col>
      <xdr:colOff>1415143</xdr:colOff>
      <xdr:row>21</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36380"/>
          <a:ext cx="1826623" cy="499872"/>
        </a:xfrm>
        <a:prstGeom prst="rect">
          <a:avLst/>
        </a:prstGeom>
      </xdr:spPr>
    </xdr:pic>
    <xdr:clientData/>
  </xdr:twoCellAnchor>
  <xdr:oneCellAnchor>
    <xdr:from>
      <xdr:col>2</xdr:col>
      <xdr:colOff>0</xdr:colOff>
      <xdr:row>41</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58560"/>
          <a:ext cx="1827519" cy="508837"/>
        </a:xfrm>
        <a:prstGeom prst="rect">
          <a:avLst/>
        </a:prstGeom>
      </xdr:spPr>
    </xdr:pic>
    <xdr:clientData/>
  </xdr:oneCellAnchor>
  <xdr:oneCellAnchor>
    <xdr:from>
      <xdr:col>2</xdr:col>
      <xdr:colOff>0</xdr:colOff>
      <xdr:row>65</xdr:row>
      <xdr:rowOff>0</xdr:rowOff>
    </xdr:from>
    <xdr:ext cx="1827519" cy="508837"/>
    <xdr:pic>
      <xdr:nvPicPr>
        <xdr:cNvPr id="4"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28826460"/>
          <a:ext cx="1827519" cy="508837"/>
        </a:xfrm>
        <a:prstGeom prst="rect">
          <a:avLst/>
        </a:prstGeom>
      </xdr:spPr>
    </xdr:pic>
    <xdr:clientData/>
  </xdr:oneCellAnchor>
  <xdr:twoCellAnchor>
    <xdr:from>
      <xdr:col>3</xdr:col>
      <xdr:colOff>0</xdr:colOff>
      <xdr:row>4</xdr:row>
      <xdr:rowOff>129540</xdr:rowOff>
    </xdr:from>
    <xdr:to>
      <xdr:col>8</xdr:col>
      <xdr:colOff>364661</xdr:colOff>
      <xdr:row>7</xdr:row>
      <xdr:rowOff>769620</xdr:rowOff>
    </xdr:to>
    <xdr:sp macro="" textlink="">
      <xdr:nvSpPr>
        <xdr:cNvPr id="7" name="Rounded Rectangle 6"/>
        <xdr:cNvSpPr>
          <a:spLocks noChangeAspect="1"/>
        </xdr:cNvSpPr>
      </xdr:nvSpPr>
      <xdr:spPr>
        <a:xfrm>
          <a:off x="982980" y="1638300"/>
          <a:ext cx="5325281" cy="3383280"/>
        </a:xfrm>
        <a:prstGeom prst="roundRect">
          <a:avLst/>
        </a:prstGeom>
        <a:blipFill>
          <a:blip xmlns:r="http://schemas.openxmlformats.org/officeDocument/2006/relationships" r:embed="rId3"/>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9</xdr:col>
      <xdr:colOff>355163</xdr:colOff>
      <xdr:row>4</xdr:row>
      <xdr:rowOff>609600</xdr:rowOff>
    </xdr:from>
    <xdr:to>
      <xdr:col>13</xdr:col>
      <xdr:colOff>669540</xdr:colOff>
      <xdr:row>7</xdr:row>
      <xdr:rowOff>609600</xdr:rowOff>
    </xdr:to>
    <xdr:pic>
      <xdr:nvPicPr>
        <xdr:cNvPr id="8" name="Picture 7"/>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7396043" y="2118360"/>
          <a:ext cx="4474897" cy="2743200"/>
        </a:xfrm>
        <a:prstGeom prst="rect">
          <a:avLst/>
        </a:prstGeom>
      </xdr:spPr>
    </xdr:pic>
    <xdr:clientData/>
  </xdr:twoCellAnchor>
  <xdr:twoCellAnchor>
    <xdr:from>
      <xdr:col>8</xdr:col>
      <xdr:colOff>868680</xdr:colOff>
      <xdr:row>4</xdr:row>
      <xdr:rowOff>121920</xdr:rowOff>
    </xdr:from>
    <xdr:to>
      <xdr:col>14</xdr:col>
      <xdr:colOff>79822</xdr:colOff>
      <xdr:row>7</xdr:row>
      <xdr:rowOff>762000</xdr:rowOff>
    </xdr:to>
    <xdr:sp macro="" textlink="">
      <xdr:nvSpPr>
        <xdr:cNvPr id="10" name="Rounded Rectangle 9"/>
        <xdr:cNvSpPr>
          <a:spLocks noChangeAspect="1"/>
        </xdr:cNvSpPr>
      </xdr:nvSpPr>
      <xdr:spPr>
        <a:xfrm>
          <a:off x="6812280" y="1630680"/>
          <a:ext cx="5520502"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26</xdr:row>
      <xdr:rowOff>121920</xdr:rowOff>
    </xdr:from>
    <xdr:to>
      <xdr:col>7</xdr:col>
      <xdr:colOff>900318</xdr:colOff>
      <xdr:row>29</xdr:row>
      <xdr:rowOff>762000</xdr:rowOff>
    </xdr:to>
    <xdr:sp macro="" textlink="">
      <xdr:nvSpPr>
        <xdr:cNvPr id="13" name="Rounded Rectangle 12"/>
        <xdr:cNvSpPr>
          <a:spLocks noChangeAspect="1"/>
        </xdr:cNvSpPr>
      </xdr:nvSpPr>
      <xdr:spPr>
        <a:xfrm>
          <a:off x="982980" y="11437620"/>
          <a:ext cx="4763658" cy="3383280"/>
        </a:xfrm>
        <a:prstGeom prst="roundRect">
          <a:avLst/>
        </a:prstGeom>
        <a:blipFill>
          <a:blip xmlns:r="http://schemas.openxmlformats.org/officeDocument/2006/relationships" r:embed="rId5"/>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700407</xdr:colOff>
      <xdr:row>26</xdr:row>
      <xdr:rowOff>609600</xdr:rowOff>
    </xdr:from>
    <xdr:to>
      <xdr:col>10</xdr:col>
      <xdr:colOff>398163</xdr:colOff>
      <xdr:row>29</xdr:row>
      <xdr:rowOff>609600</xdr:rowOff>
    </xdr:to>
    <xdr:pic>
      <xdr:nvPicPr>
        <xdr:cNvPr id="14" name="Picture 13"/>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6644007" y="11925300"/>
          <a:ext cx="3202956" cy="2743200"/>
        </a:xfrm>
        <a:prstGeom prst="rect">
          <a:avLst/>
        </a:prstGeom>
      </xdr:spPr>
    </xdr:pic>
    <xdr:clientData/>
  </xdr:twoCellAnchor>
  <xdr:twoCellAnchor>
    <xdr:from>
      <xdr:col>8</xdr:col>
      <xdr:colOff>327660</xdr:colOff>
      <xdr:row>26</xdr:row>
      <xdr:rowOff>121920</xdr:rowOff>
    </xdr:from>
    <xdr:to>
      <xdr:col>10</xdr:col>
      <xdr:colOff>770910</xdr:colOff>
      <xdr:row>29</xdr:row>
      <xdr:rowOff>762000</xdr:rowOff>
    </xdr:to>
    <xdr:sp macro="" textlink="">
      <xdr:nvSpPr>
        <xdr:cNvPr id="16" name="Rounded Rectangle 15"/>
        <xdr:cNvSpPr>
          <a:spLocks noChangeAspect="1"/>
        </xdr:cNvSpPr>
      </xdr:nvSpPr>
      <xdr:spPr>
        <a:xfrm>
          <a:off x="6271260" y="11437620"/>
          <a:ext cx="3948450"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3</xdr:col>
      <xdr:colOff>0</xdr:colOff>
      <xdr:row>48</xdr:row>
      <xdr:rowOff>121920</xdr:rowOff>
    </xdr:from>
    <xdr:to>
      <xdr:col>8</xdr:col>
      <xdr:colOff>12799</xdr:colOff>
      <xdr:row>51</xdr:row>
      <xdr:rowOff>762000</xdr:rowOff>
    </xdr:to>
    <xdr:sp macro="" textlink="">
      <xdr:nvSpPr>
        <xdr:cNvPr id="19" name="Rounded Rectangle 18"/>
        <xdr:cNvSpPr>
          <a:spLocks noChangeAspect="1"/>
        </xdr:cNvSpPr>
      </xdr:nvSpPr>
      <xdr:spPr>
        <a:xfrm>
          <a:off x="982980" y="21244560"/>
          <a:ext cx="4973419" cy="3383280"/>
        </a:xfrm>
        <a:prstGeom prst="roundRect">
          <a:avLst/>
        </a:prstGeom>
        <a:blipFill>
          <a:blip xmlns:r="http://schemas.openxmlformats.org/officeDocument/2006/relationships" r:embed="rId7"/>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611333</xdr:colOff>
      <xdr:row>48</xdr:row>
      <xdr:rowOff>441960</xdr:rowOff>
    </xdr:from>
    <xdr:to>
      <xdr:col>11</xdr:col>
      <xdr:colOff>166238</xdr:colOff>
      <xdr:row>51</xdr:row>
      <xdr:rowOff>441960</xdr:rowOff>
    </xdr:to>
    <xdr:pic>
      <xdr:nvPicPr>
        <xdr:cNvPr id="20" name="Picture 19"/>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Lst>
        </a:blip>
        <a:stretch>
          <a:fillRect/>
        </a:stretch>
      </xdr:blipFill>
      <xdr:spPr>
        <a:xfrm>
          <a:off x="6554933" y="21564600"/>
          <a:ext cx="3936405" cy="2743200"/>
        </a:xfrm>
        <a:prstGeom prst="rect">
          <a:avLst/>
        </a:prstGeom>
      </xdr:spPr>
    </xdr:pic>
    <xdr:clientData/>
  </xdr:twoCellAnchor>
  <xdr:twoCellAnchor>
    <xdr:from>
      <xdr:col>8</xdr:col>
      <xdr:colOff>152400</xdr:colOff>
      <xdr:row>48</xdr:row>
      <xdr:rowOff>121920</xdr:rowOff>
    </xdr:from>
    <xdr:to>
      <xdr:col>11</xdr:col>
      <xdr:colOff>625170</xdr:colOff>
      <xdr:row>51</xdr:row>
      <xdr:rowOff>762000</xdr:rowOff>
    </xdr:to>
    <xdr:sp macro="" textlink="">
      <xdr:nvSpPr>
        <xdr:cNvPr id="22" name="Rounded Rectangle 21"/>
        <xdr:cNvSpPr>
          <a:spLocks noChangeAspect="1"/>
        </xdr:cNvSpPr>
      </xdr:nvSpPr>
      <xdr:spPr>
        <a:xfrm>
          <a:off x="6096000" y="21244560"/>
          <a:ext cx="4854270" cy="3383280"/>
        </a:xfrm>
        <a:prstGeom prst="roundRect">
          <a:avLst/>
        </a:prstGeom>
        <a:noFill/>
        <a:ln w="19050">
          <a:solidFill>
            <a:srgbClr val="FDEB0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400" b="1">
              <a:solidFill>
                <a:schemeClr val="bg2">
                  <a:lumMod val="50000"/>
                </a:schemeClr>
              </a:solidFill>
              <a:latin typeface="Tw Cen MT" panose="020B0602020104020603" pitchFamily="34" charset="0"/>
            </a:rPr>
            <a:t>PLAN VIEW</a:t>
          </a:r>
        </a:p>
      </xdr:txBody>
    </xdr:sp>
    <xdr:clientData/>
  </xdr:twoCellAnchor>
  <xdr:twoCellAnchor>
    <xdr:from>
      <xdr:col>2</xdr:col>
      <xdr:colOff>0</xdr:colOff>
      <xdr:row>5</xdr:row>
      <xdr:rowOff>335280</xdr:rowOff>
    </xdr:from>
    <xdr:to>
      <xdr:col>3</xdr:col>
      <xdr:colOff>60960</xdr:colOff>
      <xdr:row>5</xdr:row>
      <xdr:rowOff>792480</xdr:rowOff>
    </xdr:to>
    <xdr:sp macro="" textlink="">
      <xdr:nvSpPr>
        <xdr:cNvPr id="15" name="Oval 14"/>
        <xdr:cNvSpPr/>
      </xdr:nvSpPr>
      <xdr:spPr>
        <a:xfrm>
          <a:off x="58674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579120</xdr:rowOff>
    </xdr:from>
    <xdr:to>
      <xdr:col>3</xdr:col>
      <xdr:colOff>60960</xdr:colOff>
      <xdr:row>5</xdr:row>
      <xdr:rowOff>121920</xdr:rowOff>
    </xdr:to>
    <xdr:sp macro="" textlink="">
      <xdr:nvSpPr>
        <xdr:cNvPr id="17" name="Oval 16"/>
        <xdr:cNvSpPr/>
      </xdr:nvSpPr>
      <xdr:spPr>
        <a:xfrm>
          <a:off x="58674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106680</xdr:rowOff>
    </xdr:from>
    <xdr:to>
      <xdr:col>3</xdr:col>
      <xdr:colOff>60960</xdr:colOff>
      <xdr:row>6</xdr:row>
      <xdr:rowOff>563880</xdr:rowOff>
    </xdr:to>
    <xdr:sp macro="" textlink="">
      <xdr:nvSpPr>
        <xdr:cNvPr id="18" name="Oval 17"/>
        <xdr:cNvSpPr/>
      </xdr:nvSpPr>
      <xdr:spPr>
        <a:xfrm>
          <a:off x="58674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7</xdr:row>
      <xdr:rowOff>85726</xdr:rowOff>
    </xdr:from>
    <xdr:to>
      <xdr:col>3</xdr:col>
      <xdr:colOff>1653540</xdr:colOff>
      <xdr:row>7</xdr:row>
      <xdr:rowOff>85726</xdr:rowOff>
    </xdr:to>
    <xdr:cxnSp macro="">
      <xdr:nvCxnSpPr>
        <xdr:cNvPr id="21" name="Straight Arrow Connector 20"/>
        <xdr:cNvCxnSpPr>
          <a:stCxn id="24" idx="6"/>
        </xdr:cNvCxnSpPr>
      </xdr:nvCxnSpPr>
      <xdr:spPr>
        <a:xfrm>
          <a:off x="1043940" y="4337686"/>
          <a:ext cx="159258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6</xdr:row>
      <xdr:rowOff>129540</xdr:rowOff>
    </xdr:from>
    <xdr:to>
      <xdr:col>3</xdr:col>
      <xdr:colOff>1104900</xdr:colOff>
      <xdr:row>6</xdr:row>
      <xdr:rowOff>350520</xdr:rowOff>
    </xdr:to>
    <xdr:cxnSp macro="">
      <xdr:nvCxnSpPr>
        <xdr:cNvPr id="23" name="Elbow Connector 22"/>
        <xdr:cNvCxnSpPr/>
      </xdr:nvCxnSpPr>
      <xdr:spPr>
        <a:xfrm flipV="1">
          <a:off x="1059180" y="3467100"/>
          <a:ext cx="1028700" cy="220980"/>
        </a:xfrm>
        <a:prstGeom prst="bentConnector3">
          <a:avLst>
            <a:gd name="adj1" fmla="val 10037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771526</xdr:rowOff>
    </xdr:from>
    <xdr:to>
      <xdr:col>3</xdr:col>
      <xdr:colOff>60960</xdr:colOff>
      <xdr:row>7</xdr:row>
      <xdr:rowOff>314326</xdr:rowOff>
    </xdr:to>
    <xdr:sp macro="" textlink="">
      <xdr:nvSpPr>
        <xdr:cNvPr id="24" name="Oval 23"/>
        <xdr:cNvSpPr/>
      </xdr:nvSpPr>
      <xdr:spPr>
        <a:xfrm>
          <a:off x="586740" y="410908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8</xdr:col>
      <xdr:colOff>266700</xdr:colOff>
      <xdr:row>5</xdr:row>
      <xdr:rowOff>335280</xdr:rowOff>
    </xdr:from>
    <xdr:to>
      <xdr:col>8</xdr:col>
      <xdr:colOff>723900</xdr:colOff>
      <xdr:row>5</xdr:row>
      <xdr:rowOff>792480</xdr:rowOff>
    </xdr:to>
    <xdr:sp macro="" textlink="">
      <xdr:nvSpPr>
        <xdr:cNvPr id="25" name="Oval 24"/>
        <xdr:cNvSpPr/>
      </xdr:nvSpPr>
      <xdr:spPr>
        <a:xfrm>
          <a:off x="621030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8</xdr:col>
      <xdr:colOff>266700</xdr:colOff>
      <xdr:row>4</xdr:row>
      <xdr:rowOff>579120</xdr:rowOff>
    </xdr:from>
    <xdr:to>
      <xdr:col>8</xdr:col>
      <xdr:colOff>723900</xdr:colOff>
      <xdr:row>5</xdr:row>
      <xdr:rowOff>121920</xdr:rowOff>
    </xdr:to>
    <xdr:sp macro="" textlink="">
      <xdr:nvSpPr>
        <xdr:cNvPr id="26" name="Oval 25"/>
        <xdr:cNvSpPr/>
      </xdr:nvSpPr>
      <xdr:spPr>
        <a:xfrm>
          <a:off x="621030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8</xdr:col>
      <xdr:colOff>266700</xdr:colOff>
      <xdr:row>6</xdr:row>
      <xdr:rowOff>106680</xdr:rowOff>
    </xdr:from>
    <xdr:to>
      <xdr:col>8</xdr:col>
      <xdr:colOff>723900</xdr:colOff>
      <xdr:row>6</xdr:row>
      <xdr:rowOff>563880</xdr:rowOff>
    </xdr:to>
    <xdr:sp macro="" textlink="">
      <xdr:nvSpPr>
        <xdr:cNvPr id="27" name="Oval 26"/>
        <xdr:cNvSpPr/>
      </xdr:nvSpPr>
      <xdr:spPr>
        <a:xfrm>
          <a:off x="621030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9</xdr:col>
      <xdr:colOff>830580</xdr:colOff>
      <xdr:row>5</xdr:row>
      <xdr:rowOff>586740</xdr:rowOff>
    </xdr:from>
    <xdr:to>
      <xdr:col>9</xdr:col>
      <xdr:colOff>1882140</xdr:colOff>
      <xdr:row>6</xdr:row>
      <xdr:rowOff>342900</xdr:rowOff>
    </xdr:to>
    <xdr:cxnSp macro="">
      <xdr:nvCxnSpPr>
        <xdr:cNvPr id="28" name="Elbow Connector 27"/>
        <xdr:cNvCxnSpPr/>
      </xdr:nvCxnSpPr>
      <xdr:spPr>
        <a:xfrm>
          <a:off x="7871460" y="3009900"/>
          <a:ext cx="1051560" cy="67056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533400</xdr:colOff>
      <xdr:row>5</xdr:row>
      <xdr:rowOff>563880</xdr:rowOff>
    </xdr:from>
    <xdr:to>
      <xdr:col>8</xdr:col>
      <xdr:colOff>266700</xdr:colOff>
      <xdr:row>7</xdr:row>
      <xdr:rowOff>7620</xdr:rowOff>
    </xdr:to>
    <xdr:cxnSp macro="">
      <xdr:nvCxnSpPr>
        <xdr:cNvPr id="31" name="Elbow Connector 30"/>
        <xdr:cNvCxnSpPr>
          <a:stCxn id="25" idx="2"/>
        </xdr:cNvCxnSpPr>
      </xdr:nvCxnSpPr>
      <xdr:spPr>
        <a:xfrm rot="10800000" flipV="1">
          <a:off x="4282440" y="2987040"/>
          <a:ext cx="1927860" cy="1272540"/>
        </a:xfrm>
        <a:prstGeom prst="bentConnector3">
          <a:avLst>
            <a:gd name="adj1" fmla="val 7055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289560</xdr:colOff>
      <xdr:row>6</xdr:row>
      <xdr:rowOff>335280</xdr:rowOff>
    </xdr:from>
    <xdr:to>
      <xdr:col>8</xdr:col>
      <xdr:colOff>266700</xdr:colOff>
      <xdr:row>6</xdr:row>
      <xdr:rowOff>350520</xdr:rowOff>
    </xdr:to>
    <xdr:cxnSp macro="">
      <xdr:nvCxnSpPr>
        <xdr:cNvPr id="39" name="Straight Arrow Connector 38"/>
        <xdr:cNvCxnSpPr>
          <a:stCxn id="27" idx="2"/>
        </xdr:cNvCxnSpPr>
      </xdr:nvCxnSpPr>
      <xdr:spPr>
        <a:xfrm flipH="1">
          <a:off x="5135880" y="3672840"/>
          <a:ext cx="1074420" cy="1524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xdr:row>
      <xdr:rowOff>807720</xdr:rowOff>
    </xdr:from>
    <xdr:to>
      <xdr:col>3</xdr:col>
      <xdr:colOff>1851660</xdr:colOff>
      <xdr:row>5</xdr:row>
      <xdr:rowOff>60960</xdr:rowOff>
    </xdr:to>
    <xdr:cxnSp macro="">
      <xdr:nvCxnSpPr>
        <xdr:cNvPr id="42" name="Elbow Connector 41"/>
        <xdr:cNvCxnSpPr>
          <a:stCxn id="17" idx="6"/>
        </xdr:cNvCxnSpPr>
      </xdr:nvCxnSpPr>
      <xdr:spPr>
        <a:xfrm>
          <a:off x="1043940" y="2316480"/>
          <a:ext cx="1790700" cy="16764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563880</xdr:rowOff>
    </xdr:from>
    <xdr:to>
      <xdr:col>3</xdr:col>
      <xdr:colOff>609600</xdr:colOff>
      <xdr:row>5</xdr:row>
      <xdr:rowOff>792480</xdr:rowOff>
    </xdr:to>
    <xdr:cxnSp macro="">
      <xdr:nvCxnSpPr>
        <xdr:cNvPr id="47" name="Elbow Connector 46"/>
        <xdr:cNvCxnSpPr>
          <a:stCxn id="15" idx="6"/>
        </xdr:cNvCxnSpPr>
      </xdr:nvCxnSpPr>
      <xdr:spPr>
        <a:xfrm>
          <a:off x="1043940" y="2987040"/>
          <a:ext cx="548640" cy="22860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1630680</xdr:colOff>
      <xdr:row>4</xdr:row>
      <xdr:rowOff>807720</xdr:rowOff>
    </xdr:from>
    <xdr:to>
      <xdr:col>8</xdr:col>
      <xdr:colOff>266700</xdr:colOff>
      <xdr:row>6</xdr:row>
      <xdr:rowOff>114300</xdr:rowOff>
    </xdr:to>
    <xdr:cxnSp macro="">
      <xdr:nvCxnSpPr>
        <xdr:cNvPr id="62" name="Elbow Connector 61"/>
        <xdr:cNvCxnSpPr>
          <a:stCxn id="26" idx="2"/>
        </xdr:cNvCxnSpPr>
      </xdr:nvCxnSpPr>
      <xdr:spPr>
        <a:xfrm rot="10800000" flipV="1">
          <a:off x="2613660" y="2316480"/>
          <a:ext cx="3596640" cy="1135380"/>
        </a:xfrm>
        <a:prstGeom prst="bentConnector3">
          <a:avLst>
            <a:gd name="adj1" fmla="val 4322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27</xdr:row>
      <xdr:rowOff>335280</xdr:rowOff>
    </xdr:from>
    <xdr:to>
      <xdr:col>3</xdr:col>
      <xdr:colOff>60960</xdr:colOff>
      <xdr:row>27</xdr:row>
      <xdr:rowOff>792480</xdr:rowOff>
    </xdr:to>
    <xdr:sp macro="" textlink="">
      <xdr:nvSpPr>
        <xdr:cNvPr id="66" name="Oval 65"/>
        <xdr:cNvSpPr/>
      </xdr:nvSpPr>
      <xdr:spPr>
        <a:xfrm>
          <a:off x="586740" y="125653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26</xdr:row>
      <xdr:rowOff>579120</xdr:rowOff>
    </xdr:from>
    <xdr:to>
      <xdr:col>3</xdr:col>
      <xdr:colOff>60960</xdr:colOff>
      <xdr:row>27</xdr:row>
      <xdr:rowOff>121920</xdr:rowOff>
    </xdr:to>
    <xdr:sp macro="" textlink="">
      <xdr:nvSpPr>
        <xdr:cNvPr id="67" name="Oval 66"/>
        <xdr:cNvSpPr/>
      </xdr:nvSpPr>
      <xdr:spPr>
        <a:xfrm>
          <a:off x="586740" y="118948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28</xdr:row>
      <xdr:rowOff>106680</xdr:rowOff>
    </xdr:from>
    <xdr:to>
      <xdr:col>3</xdr:col>
      <xdr:colOff>60960</xdr:colOff>
      <xdr:row>28</xdr:row>
      <xdr:rowOff>563880</xdr:rowOff>
    </xdr:to>
    <xdr:sp macro="" textlink="">
      <xdr:nvSpPr>
        <xdr:cNvPr id="68" name="Oval 67"/>
        <xdr:cNvSpPr/>
      </xdr:nvSpPr>
      <xdr:spPr>
        <a:xfrm>
          <a:off x="586740" y="132511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29</xdr:row>
      <xdr:rowOff>85726</xdr:rowOff>
    </xdr:from>
    <xdr:to>
      <xdr:col>3</xdr:col>
      <xdr:colOff>1051560</xdr:colOff>
      <xdr:row>29</xdr:row>
      <xdr:rowOff>85726</xdr:rowOff>
    </xdr:to>
    <xdr:cxnSp macro="">
      <xdr:nvCxnSpPr>
        <xdr:cNvPr id="69" name="Straight Arrow Connector 68"/>
        <xdr:cNvCxnSpPr>
          <a:stCxn id="71" idx="6"/>
        </xdr:cNvCxnSpPr>
      </xdr:nvCxnSpPr>
      <xdr:spPr>
        <a:xfrm>
          <a:off x="1043940" y="14144626"/>
          <a:ext cx="99060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28</xdr:row>
      <xdr:rowOff>350520</xdr:rowOff>
    </xdr:from>
    <xdr:to>
      <xdr:col>3</xdr:col>
      <xdr:colOff>998220</xdr:colOff>
      <xdr:row>28</xdr:row>
      <xdr:rowOff>586740</xdr:rowOff>
    </xdr:to>
    <xdr:cxnSp macro="">
      <xdr:nvCxnSpPr>
        <xdr:cNvPr id="70" name="Elbow Connector 69"/>
        <xdr:cNvCxnSpPr/>
      </xdr:nvCxnSpPr>
      <xdr:spPr>
        <a:xfrm>
          <a:off x="1059180" y="13495020"/>
          <a:ext cx="922020" cy="236220"/>
        </a:xfrm>
        <a:prstGeom prst="bentConnector3">
          <a:avLst>
            <a:gd name="adj1" fmla="val 9958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28</xdr:row>
      <xdr:rowOff>771526</xdr:rowOff>
    </xdr:from>
    <xdr:to>
      <xdr:col>3</xdr:col>
      <xdr:colOff>60960</xdr:colOff>
      <xdr:row>29</xdr:row>
      <xdr:rowOff>314326</xdr:rowOff>
    </xdr:to>
    <xdr:sp macro="" textlink="">
      <xdr:nvSpPr>
        <xdr:cNvPr id="71" name="Oval 70"/>
        <xdr:cNvSpPr/>
      </xdr:nvSpPr>
      <xdr:spPr>
        <a:xfrm>
          <a:off x="586740" y="1391602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7</xdr:col>
      <xdr:colOff>822960</xdr:colOff>
      <xdr:row>27</xdr:row>
      <xdr:rowOff>335280</xdr:rowOff>
    </xdr:from>
    <xdr:to>
      <xdr:col>8</xdr:col>
      <xdr:colOff>182880</xdr:colOff>
      <xdr:row>27</xdr:row>
      <xdr:rowOff>792480</xdr:rowOff>
    </xdr:to>
    <xdr:sp macro="" textlink="">
      <xdr:nvSpPr>
        <xdr:cNvPr id="72" name="Oval 71"/>
        <xdr:cNvSpPr/>
      </xdr:nvSpPr>
      <xdr:spPr>
        <a:xfrm>
          <a:off x="5669280" y="125653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7</xdr:col>
      <xdr:colOff>822960</xdr:colOff>
      <xdr:row>26</xdr:row>
      <xdr:rowOff>579120</xdr:rowOff>
    </xdr:from>
    <xdr:to>
      <xdr:col>8</xdr:col>
      <xdr:colOff>182880</xdr:colOff>
      <xdr:row>27</xdr:row>
      <xdr:rowOff>121920</xdr:rowOff>
    </xdr:to>
    <xdr:sp macro="" textlink="">
      <xdr:nvSpPr>
        <xdr:cNvPr id="73" name="Oval 72"/>
        <xdr:cNvSpPr/>
      </xdr:nvSpPr>
      <xdr:spPr>
        <a:xfrm>
          <a:off x="5669280" y="118948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7</xdr:col>
      <xdr:colOff>822960</xdr:colOff>
      <xdr:row>28</xdr:row>
      <xdr:rowOff>106680</xdr:rowOff>
    </xdr:from>
    <xdr:to>
      <xdr:col>8</xdr:col>
      <xdr:colOff>182880</xdr:colOff>
      <xdr:row>28</xdr:row>
      <xdr:rowOff>563880</xdr:rowOff>
    </xdr:to>
    <xdr:sp macro="" textlink="">
      <xdr:nvSpPr>
        <xdr:cNvPr id="74" name="Oval 73"/>
        <xdr:cNvSpPr/>
      </xdr:nvSpPr>
      <xdr:spPr>
        <a:xfrm>
          <a:off x="5669280" y="132511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3</xdr:col>
      <xdr:colOff>1539240</xdr:colOff>
      <xdr:row>27</xdr:row>
      <xdr:rowOff>563880</xdr:rowOff>
    </xdr:from>
    <xdr:to>
      <xdr:col>7</xdr:col>
      <xdr:colOff>822960</xdr:colOff>
      <xdr:row>28</xdr:row>
      <xdr:rowOff>594360</xdr:rowOff>
    </xdr:to>
    <xdr:cxnSp macro="">
      <xdr:nvCxnSpPr>
        <xdr:cNvPr id="75" name="Elbow Connector 74"/>
        <xdr:cNvCxnSpPr>
          <a:stCxn id="72" idx="2"/>
        </xdr:cNvCxnSpPr>
      </xdr:nvCxnSpPr>
      <xdr:spPr>
        <a:xfrm rot="10800000" flipV="1">
          <a:off x="2522220" y="12793980"/>
          <a:ext cx="3147060" cy="944880"/>
        </a:xfrm>
        <a:prstGeom prst="bentConnector3">
          <a:avLst>
            <a:gd name="adj1" fmla="val 7542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27</xdr:row>
      <xdr:rowOff>563880</xdr:rowOff>
    </xdr:from>
    <xdr:to>
      <xdr:col>3</xdr:col>
      <xdr:colOff>1714500</xdr:colOff>
      <xdr:row>27</xdr:row>
      <xdr:rowOff>830580</xdr:rowOff>
    </xdr:to>
    <xdr:cxnSp macro="">
      <xdr:nvCxnSpPr>
        <xdr:cNvPr id="78" name="Elbow Connector 77"/>
        <xdr:cNvCxnSpPr>
          <a:stCxn id="66" idx="6"/>
        </xdr:cNvCxnSpPr>
      </xdr:nvCxnSpPr>
      <xdr:spPr>
        <a:xfrm>
          <a:off x="1043940" y="12793980"/>
          <a:ext cx="1653540" cy="266700"/>
        </a:xfrm>
        <a:prstGeom prst="bentConnector3">
          <a:avLst>
            <a:gd name="adj1" fmla="val 10023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1821180</xdr:colOff>
      <xdr:row>26</xdr:row>
      <xdr:rowOff>807720</xdr:rowOff>
    </xdr:from>
    <xdr:to>
      <xdr:col>7</xdr:col>
      <xdr:colOff>822960</xdr:colOff>
      <xdr:row>27</xdr:row>
      <xdr:rowOff>373380</xdr:rowOff>
    </xdr:to>
    <xdr:cxnSp macro="">
      <xdr:nvCxnSpPr>
        <xdr:cNvPr id="79" name="Elbow Connector 78"/>
        <xdr:cNvCxnSpPr>
          <a:stCxn id="73" idx="2"/>
        </xdr:cNvCxnSpPr>
      </xdr:nvCxnSpPr>
      <xdr:spPr>
        <a:xfrm rot="10800000" flipV="1">
          <a:off x="2804160" y="12123420"/>
          <a:ext cx="2865120" cy="480060"/>
        </a:xfrm>
        <a:prstGeom prst="bentConnector3">
          <a:avLst>
            <a:gd name="adj1" fmla="val 10053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26</xdr:row>
      <xdr:rowOff>807720</xdr:rowOff>
    </xdr:from>
    <xdr:to>
      <xdr:col>3</xdr:col>
      <xdr:colOff>1318260</xdr:colOff>
      <xdr:row>26</xdr:row>
      <xdr:rowOff>807720</xdr:rowOff>
    </xdr:to>
    <xdr:cxnSp macro="">
      <xdr:nvCxnSpPr>
        <xdr:cNvPr id="84" name="Straight Arrow Connector 83"/>
        <xdr:cNvCxnSpPr>
          <a:stCxn id="67" idx="6"/>
        </xdr:cNvCxnSpPr>
      </xdr:nvCxnSpPr>
      <xdr:spPr>
        <a:xfrm>
          <a:off x="1043940" y="12123420"/>
          <a:ext cx="125730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28</xdr:row>
      <xdr:rowOff>335280</xdr:rowOff>
    </xdr:from>
    <xdr:to>
      <xdr:col>7</xdr:col>
      <xdr:colOff>822960</xdr:colOff>
      <xdr:row>29</xdr:row>
      <xdr:rowOff>38100</xdr:rowOff>
    </xdr:to>
    <xdr:cxnSp macro="">
      <xdr:nvCxnSpPr>
        <xdr:cNvPr id="98" name="Elbow Connector 97"/>
        <xdr:cNvCxnSpPr>
          <a:stCxn id="74" idx="2"/>
        </xdr:cNvCxnSpPr>
      </xdr:nvCxnSpPr>
      <xdr:spPr>
        <a:xfrm rot="10800000" flipV="1">
          <a:off x="3581400" y="13479780"/>
          <a:ext cx="2087880" cy="61722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48</xdr:row>
      <xdr:rowOff>899160</xdr:rowOff>
    </xdr:from>
    <xdr:to>
      <xdr:col>3</xdr:col>
      <xdr:colOff>60960</xdr:colOff>
      <xdr:row>49</xdr:row>
      <xdr:rowOff>441960</xdr:rowOff>
    </xdr:to>
    <xdr:sp macro="" textlink="">
      <xdr:nvSpPr>
        <xdr:cNvPr id="102" name="Oval 101"/>
        <xdr:cNvSpPr/>
      </xdr:nvSpPr>
      <xdr:spPr>
        <a:xfrm>
          <a:off x="586740" y="220218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48</xdr:row>
      <xdr:rowOff>228600</xdr:rowOff>
    </xdr:from>
    <xdr:to>
      <xdr:col>3</xdr:col>
      <xdr:colOff>60960</xdr:colOff>
      <xdr:row>48</xdr:row>
      <xdr:rowOff>685800</xdr:rowOff>
    </xdr:to>
    <xdr:sp macro="" textlink="">
      <xdr:nvSpPr>
        <xdr:cNvPr id="103" name="Oval 102"/>
        <xdr:cNvSpPr/>
      </xdr:nvSpPr>
      <xdr:spPr>
        <a:xfrm>
          <a:off x="586740" y="21351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49</xdr:row>
      <xdr:rowOff>670560</xdr:rowOff>
    </xdr:from>
    <xdr:to>
      <xdr:col>3</xdr:col>
      <xdr:colOff>60960</xdr:colOff>
      <xdr:row>50</xdr:row>
      <xdr:rowOff>213360</xdr:rowOff>
    </xdr:to>
    <xdr:sp macro="" textlink="">
      <xdr:nvSpPr>
        <xdr:cNvPr id="104" name="Oval 103"/>
        <xdr:cNvSpPr/>
      </xdr:nvSpPr>
      <xdr:spPr>
        <a:xfrm>
          <a:off x="586740" y="227076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2</xdr:col>
      <xdr:colOff>0</xdr:colOff>
      <xdr:row>50</xdr:row>
      <xdr:rowOff>421006</xdr:rowOff>
    </xdr:from>
    <xdr:to>
      <xdr:col>3</xdr:col>
      <xdr:colOff>60960</xdr:colOff>
      <xdr:row>50</xdr:row>
      <xdr:rowOff>878206</xdr:rowOff>
    </xdr:to>
    <xdr:sp macro="" textlink="">
      <xdr:nvSpPr>
        <xdr:cNvPr id="105" name="Oval 104"/>
        <xdr:cNvSpPr/>
      </xdr:nvSpPr>
      <xdr:spPr>
        <a:xfrm>
          <a:off x="586740" y="2337244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2</xdr:col>
      <xdr:colOff>0</xdr:colOff>
      <xdr:row>51</xdr:row>
      <xdr:rowOff>175681</xdr:rowOff>
    </xdr:from>
    <xdr:to>
      <xdr:col>3</xdr:col>
      <xdr:colOff>60960</xdr:colOff>
      <xdr:row>51</xdr:row>
      <xdr:rowOff>632881</xdr:rowOff>
    </xdr:to>
    <xdr:sp macro="" textlink="">
      <xdr:nvSpPr>
        <xdr:cNvPr id="106" name="Oval 105"/>
        <xdr:cNvSpPr/>
      </xdr:nvSpPr>
      <xdr:spPr>
        <a:xfrm>
          <a:off x="586740" y="24041521"/>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3</xdr:col>
      <xdr:colOff>68580</xdr:colOff>
      <xdr:row>50</xdr:row>
      <xdr:rowOff>38100</xdr:rowOff>
    </xdr:from>
    <xdr:to>
      <xdr:col>5</xdr:col>
      <xdr:colOff>289560</xdr:colOff>
      <xdr:row>50</xdr:row>
      <xdr:rowOff>38100</xdr:rowOff>
    </xdr:to>
    <xdr:cxnSp macro="">
      <xdr:nvCxnSpPr>
        <xdr:cNvPr id="107" name="Straight Arrow Connector 106"/>
        <xdr:cNvCxnSpPr/>
      </xdr:nvCxnSpPr>
      <xdr:spPr>
        <a:xfrm>
          <a:off x="1051560" y="22989540"/>
          <a:ext cx="259080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49</xdr:row>
      <xdr:rowOff>83820</xdr:rowOff>
    </xdr:from>
    <xdr:to>
      <xdr:col>7</xdr:col>
      <xdr:colOff>320040</xdr:colOff>
      <xdr:row>51</xdr:row>
      <xdr:rowOff>404281</xdr:rowOff>
    </xdr:to>
    <xdr:cxnSp macro="">
      <xdr:nvCxnSpPr>
        <xdr:cNvPr id="108" name="Elbow Connector 107"/>
        <xdr:cNvCxnSpPr>
          <a:stCxn id="106" idx="6"/>
        </xdr:cNvCxnSpPr>
      </xdr:nvCxnSpPr>
      <xdr:spPr>
        <a:xfrm flipV="1">
          <a:off x="1043940" y="22120860"/>
          <a:ext cx="4122420" cy="2149261"/>
        </a:xfrm>
        <a:prstGeom prst="bentConnector3">
          <a:avLst>
            <a:gd name="adj1" fmla="val 9972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48</xdr:row>
      <xdr:rowOff>457200</xdr:rowOff>
    </xdr:from>
    <xdr:to>
      <xdr:col>6</xdr:col>
      <xdr:colOff>312420</xdr:colOff>
      <xdr:row>49</xdr:row>
      <xdr:rowOff>480060</xdr:rowOff>
    </xdr:to>
    <xdr:cxnSp macro="">
      <xdr:nvCxnSpPr>
        <xdr:cNvPr id="113" name="Elbow Connector 112"/>
        <xdr:cNvCxnSpPr>
          <a:stCxn id="103" idx="6"/>
        </xdr:cNvCxnSpPr>
      </xdr:nvCxnSpPr>
      <xdr:spPr>
        <a:xfrm>
          <a:off x="1043940" y="21579840"/>
          <a:ext cx="3017520" cy="937260"/>
        </a:xfrm>
        <a:prstGeom prst="bentConnector3">
          <a:avLst>
            <a:gd name="adj1" fmla="val 10025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49</xdr:row>
      <xdr:rowOff>213360</xdr:rowOff>
    </xdr:from>
    <xdr:to>
      <xdr:col>3</xdr:col>
      <xdr:colOff>1767840</xdr:colOff>
      <xdr:row>49</xdr:row>
      <xdr:rowOff>723900</xdr:rowOff>
    </xdr:to>
    <xdr:cxnSp macro="">
      <xdr:nvCxnSpPr>
        <xdr:cNvPr id="117" name="Elbow Connector 116"/>
        <xdr:cNvCxnSpPr>
          <a:stCxn id="102" idx="6"/>
        </xdr:cNvCxnSpPr>
      </xdr:nvCxnSpPr>
      <xdr:spPr>
        <a:xfrm>
          <a:off x="1043940" y="22250400"/>
          <a:ext cx="1706880" cy="510540"/>
        </a:xfrm>
        <a:prstGeom prst="bentConnector3">
          <a:avLst>
            <a:gd name="adj1" fmla="val 10044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50</xdr:row>
      <xdr:rowOff>106680</xdr:rowOff>
    </xdr:from>
    <xdr:to>
      <xdr:col>6</xdr:col>
      <xdr:colOff>982980</xdr:colOff>
      <xdr:row>50</xdr:row>
      <xdr:rowOff>649606</xdr:rowOff>
    </xdr:to>
    <xdr:cxnSp macro="">
      <xdr:nvCxnSpPr>
        <xdr:cNvPr id="123" name="Elbow Connector 122"/>
        <xdr:cNvCxnSpPr>
          <a:stCxn id="105" idx="6"/>
        </xdr:cNvCxnSpPr>
      </xdr:nvCxnSpPr>
      <xdr:spPr>
        <a:xfrm flipV="1">
          <a:off x="1043940" y="23058120"/>
          <a:ext cx="3688080" cy="542926"/>
        </a:xfrm>
        <a:prstGeom prst="bentConnector3">
          <a:avLst>
            <a:gd name="adj1" fmla="val 10041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22</xdr:row>
      <xdr:rowOff>0</xdr:rowOff>
    </xdr:from>
    <xdr:to>
      <xdr:col>3</xdr:col>
      <xdr:colOff>1415143</xdr:colOff>
      <xdr:row>24</xdr:row>
      <xdr:rowOff>42673</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36380"/>
          <a:ext cx="1826623" cy="499872"/>
        </a:xfrm>
        <a:prstGeom prst="rect">
          <a:avLst/>
        </a:prstGeom>
      </xdr:spPr>
    </xdr:pic>
    <xdr:clientData/>
  </xdr:twoCellAnchor>
  <xdr:oneCellAnchor>
    <xdr:from>
      <xdr:col>2</xdr:col>
      <xdr:colOff>0</xdr:colOff>
      <xdr:row>49</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58560"/>
          <a:ext cx="1827519" cy="508837"/>
        </a:xfrm>
        <a:prstGeom prst="rect">
          <a:avLst/>
        </a:prstGeom>
      </xdr:spPr>
    </xdr:pic>
    <xdr:clientData/>
  </xdr:oneCellAnchor>
  <xdr:oneCellAnchor>
    <xdr:from>
      <xdr:col>2</xdr:col>
      <xdr:colOff>0</xdr:colOff>
      <xdr:row>76</xdr:row>
      <xdr:rowOff>0</xdr:rowOff>
    </xdr:from>
    <xdr:ext cx="1827519" cy="508837"/>
    <xdr:pic>
      <xdr:nvPicPr>
        <xdr:cNvPr id="4"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28826460"/>
          <a:ext cx="1827519" cy="508837"/>
        </a:xfrm>
        <a:prstGeom prst="rect">
          <a:avLst/>
        </a:prstGeom>
      </xdr:spPr>
    </xdr:pic>
    <xdr:clientData/>
  </xdr:oneCellAnchor>
  <xdr:oneCellAnchor>
    <xdr:from>
      <xdr:col>2</xdr:col>
      <xdr:colOff>0</xdr:colOff>
      <xdr:row>103</xdr:row>
      <xdr:rowOff>0</xdr:rowOff>
    </xdr:from>
    <xdr:ext cx="1827519" cy="508837"/>
    <xdr:pic>
      <xdr:nvPicPr>
        <xdr:cNvPr id="5"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28803600"/>
          <a:ext cx="1827519" cy="508837"/>
        </a:xfrm>
        <a:prstGeom prst="rect">
          <a:avLst/>
        </a:prstGeom>
      </xdr:spPr>
    </xdr:pic>
    <xdr:clientData/>
  </xdr:oneCellAnchor>
  <xdr:twoCellAnchor>
    <xdr:from>
      <xdr:col>3</xdr:col>
      <xdr:colOff>0</xdr:colOff>
      <xdr:row>4</xdr:row>
      <xdr:rowOff>121920</xdr:rowOff>
    </xdr:from>
    <xdr:to>
      <xdr:col>8</xdr:col>
      <xdr:colOff>609600</xdr:colOff>
      <xdr:row>7</xdr:row>
      <xdr:rowOff>762000</xdr:rowOff>
    </xdr:to>
    <xdr:sp macro="" textlink="">
      <xdr:nvSpPr>
        <xdr:cNvPr id="9" name="Rounded Rectangle 8"/>
        <xdr:cNvSpPr>
          <a:spLocks noChangeAspect="1"/>
        </xdr:cNvSpPr>
      </xdr:nvSpPr>
      <xdr:spPr>
        <a:xfrm>
          <a:off x="982980" y="1630680"/>
          <a:ext cx="5570220" cy="3383280"/>
        </a:xfrm>
        <a:prstGeom prst="roundRect">
          <a:avLst/>
        </a:prstGeom>
        <a:blipFill>
          <a:blip xmlns:r="http://schemas.openxmlformats.org/officeDocument/2006/relationships" r:embed="rId3"/>
          <a:srcRect/>
          <a:stretch>
            <a:fillRect l="1" t="377" r="-117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1018253</xdr:colOff>
      <xdr:row>4</xdr:row>
      <xdr:rowOff>441960</xdr:rowOff>
    </xdr:from>
    <xdr:to>
      <xdr:col>14</xdr:col>
      <xdr:colOff>1168689</xdr:colOff>
      <xdr:row>7</xdr:row>
      <xdr:rowOff>441960</xdr:rowOff>
    </xdr:to>
    <xdr:pic>
      <xdr:nvPicPr>
        <xdr:cNvPr id="10" name="Picture 9"/>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961853" y="1950720"/>
          <a:ext cx="6459796" cy="2743200"/>
        </a:xfrm>
        <a:prstGeom prst="rect">
          <a:avLst/>
        </a:prstGeom>
      </xdr:spPr>
    </xdr:pic>
    <xdr:clientData/>
  </xdr:twoCellAnchor>
  <xdr:twoCellAnchor>
    <xdr:from>
      <xdr:col>8</xdr:col>
      <xdr:colOff>754381</xdr:colOff>
      <xdr:row>4</xdr:row>
      <xdr:rowOff>121920</xdr:rowOff>
    </xdr:from>
    <xdr:to>
      <xdr:col>14</xdr:col>
      <xdr:colOff>1432561</xdr:colOff>
      <xdr:row>7</xdr:row>
      <xdr:rowOff>762000</xdr:rowOff>
    </xdr:to>
    <xdr:sp macro="" textlink="">
      <xdr:nvSpPr>
        <xdr:cNvPr id="12" name="Rounded Rectangle 11"/>
        <xdr:cNvSpPr>
          <a:spLocks noChangeAspect="1"/>
        </xdr:cNvSpPr>
      </xdr:nvSpPr>
      <xdr:spPr>
        <a:xfrm>
          <a:off x="6697981" y="1630680"/>
          <a:ext cx="6987540"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3</xdr:col>
      <xdr:colOff>0</xdr:colOff>
      <xdr:row>29</xdr:row>
      <xdr:rowOff>121920</xdr:rowOff>
    </xdr:from>
    <xdr:to>
      <xdr:col>8</xdr:col>
      <xdr:colOff>137258</xdr:colOff>
      <xdr:row>32</xdr:row>
      <xdr:rowOff>762000</xdr:rowOff>
    </xdr:to>
    <xdr:sp macro="" textlink="">
      <xdr:nvSpPr>
        <xdr:cNvPr id="15" name="Rounded Rectangle 14"/>
        <xdr:cNvSpPr>
          <a:spLocks noChangeAspect="1"/>
        </xdr:cNvSpPr>
      </xdr:nvSpPr>
      <xdr:spPr>
        <a:xfrm>
          <a:off x="982980" y="11506200"/>
          <a:ext cx="5097878" cy="3383280"/>
        </a:xfrm>
        <a:prstGeom prst="roundRect">
          <a:avLst/>
        </a:prstGeom>
        <a:blipFill>
          <a:blip xmlns:r="http://schemas.openxmlformats.org/officeDocument/2006/relationships" r:embed="rId5"/>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890636</xdr:colOff>
      <xdr:row>29</xdr:row>
      <xdr:rowOff>457200</xdr:rowOff>
    </xdr:from>
    <xdr:to>
      <xdr:col>13</xdr:col>
      <xdr:colOff>844331</xdr:colOff>
      <xdr:row>32</xdr:row>
      <xdr:rowOff>457200</xdr:rowOff>
    </xdr:to>
    <xdr:pic>
      <xdr:nvPicPr>
        <xdr:cNvPr id="16" name="Picture 15"/>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6834236" y="11841480"/>
          <a:ext cx="5211495" cy="2743200"/>
        </a:xfrm>
        <a:prstGeom prst="rect">
          <a:avLst/>
        </a:prstGeom>
      </xdr:spPr>
    </xdr:pic>
    <xdr:clientData/>
  </xdr:twoCellAnchor>
  <xdr:twoCellAnchor>
    <xdr:from>
      <xdr:col>8</xdr:col>
      <xdr:colOff>281943</xdr:colOff>
      <xdr:row>29</xdr:row>
      <xdr:rowOff>137160</xdr:rowOff>
    </xdr:from>
    <xdr:to>
      <xdr:col>14</xdr:col>
      <xdr:colOff>401463</xdr:colOff>
      <xdr:row>32</xdr:row>
      <xdr:rowOff>777240</xdr:rowOff>
    </xdr:to>
    <xdr:sp macro="" textlink="">
      <xdr:nvSpPr>
        <xdr:cNvPr id="17" name="Rounded Rectangle 16"/>
        <xdr:cNvSpPr>
          <a:spLocks noChangeAspect="1"/>
        </xdr:cNvSpPr>
      </xdr:nvSpPr>
      <xdr:spPr>
        <a:xfrm>
          <a:off x="6225543" y="11521440"/>
          <a:ext cx="6428880"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3</xdr:col>
      <xdr:colOff>0</xdr:colOff>
      <xdr:row>56</xdr:row>
      <xdr:rowOff>121920</xdr:rowOff>
    </xdr:from>
    <xdr:to>
      <xdr:col>7</xdr:col>
      <xdr:colOff>792759</xdr:colOff>
      <xdr:row>59</xdr:row>
      <xdr:rowOff>762000</xdr:rowOff>
    </xdr:to>
    <xdr:sp macro="" textlink="">
      <xdr:nvSpPr>
        <xdr:cNvPr id="20" name="Rounded Rectangle 19"/>
        <xdr:cNvSpPr>
          <a:spLocks noChangeAspect="1"/>
        </xdr:cNvSpPr>
      </xdr:nvSpPr>
      <xdr:spPr>
        <a:xfrm>
          <a:off x="982980" y="21427440"/>
          <a:ext cx="4656099" cy="3383280"/>
        </a:xfrm>
        <a:prstGeom prst="roundRect">
          <a:avLst/>
        </a:prstGeom>
        <a:blipFill>
          <a:blip xmlns:r="http://schemas.openxmlformats.org/officeDocument/2006/relationships" r:embed="rId7"/>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224086</xdr:colOff>
      <xdr:row>56</xdr:row>
      <xdr:rowOff>601980</xdr:rowOff>
    </xdr:from>
    <xdr:to>
      <xdr:col>10</xdr:col>
      <xdr:colOff>18361</xdr:colOff>
      <xdr:row>59</xdr:row>
      <xdr:rowOff>601980</xdr:rowOff>
    </xdr:to>
    <xdr:pic>
      <xdr:nvPicPr>
        <xdr:cNvPr id="21" name="Picture 20"/>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Lst>
        </a:blip>
        <a:stretch>
          <a:fillRect/>
        </a:stretch>
      </xdr:blipFill>
      <xdr:spPr>
        <a:xfrm>
          <a:off x="6167686" y="21907500"/>
          <a:ext cx="3299475" cy="2743200"/>
        </a:xfrm>
        <a:prstGeom prst="rect">
          <a:avLst/>
        </a:prstGeom>
      </xdr:spPr>
    </xdr:pic>
    <xdr:clientData/>
  </xdr:twoCellAnchor>
  <xdr:twoCellAnchor>
    <xdr:from>
      <xdr:col>7</xdr:col>
      <xdr:colOff>937260</xdr:colOff>
      <xdr:row>56</xdr:row>
      <xdr:rowOff>121920</xdr:rowOff>
    </xdr:from>
    <xdr:to>
      <xdr:col>10</xdr:col>
      <xdr:colOff>402467</xdr:colOff>
      <xdr:row>59</xdr:row>
      <xdr:rowOff>762000</xdr:rowOff>
    </xdr:to>
    <xdr:sp macro="" textlink="">
      <xdr:nvSpPr>
        <xdr:cNvPr id="23" name="Rounded Rectangle 22"/>
        <xdr:cNvSpPr>
          <a:spLocks noChangeAspect="1"/>
        </xdr:cNvSpPr>
      </xdr:nvSpPr>
      <xdr:spPr>
        <a:xfrm>
          <a:off x="5783580" y="21427440"/>
          <a:ext cx="4067687"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a:t>
          </a:r>
          <a:r>
            <a:rPr lang="en-CA" sz="1600" b="1" baseline="0">
              <a:solidFill>
                <a:srgbClr val="03BADF"/>
              </a:solidFill>
              <a:latin typeface="Tw Cen MT" panose="020B0602020104020603" pitchFamily="34" charset="0"/>
            </a:rPr>
            <a:t> VIEW</a:t>
          </a:r>
          <a:endParaRPr lang="en-CA" sz="1600" b="1">
            <a:solidFill>
              <a:srgbClr val="03BADF"/>
            </a:solidFill>
            <a:latin typeface="Tw Cen MT" panose="020B0602020104020603" pitchFamily="34" charset="0"/>
          </a:endParaRPr>
        </a:p>
      </xdr:txBody>
    </xdr:sp>
    <xdr:clientData/>
  </xdr:twoCellAnchor>
  <xdr:twoCellAnchor>
    <xdr:from>
      <xdr:col>3</xdr:col>
      <xdr:colOff>0</xdr:colOff>
      <xdr:row>83</xdr:row>
      <xdr:rowOff>121920</xdr:rowOff>
    </xdr:from>
    <xdr:to>
      <xdr:col>7</xdr:col>
      <xdr:colOff>966355</xdr:colOff>
      <xdr:row>86</xdr:row>
      <xdr:rowOff>762000</xdr:rowOff>
    </xdr:to>
    <xdr:sp macro="" textlink="">
      <xdr:nvSpPr>
        <xdr:cNvPr id="26" name="Rounded Rectangle 25"/>
        <xdr:cNvSpPr>
          <a:spLocks noChangeAspect="1"/>
        </xdr:cNvSpPr>
      </xdr:nvSpPr>
      <xdr:spPr>
        <a:xfrm>
          <a:off x="982980" y="31348680"/>
          <a:ext cx="4829695" cy="3383280"/>
        </a:xfrm>
        <a:prstGeom prst="roundRect">
          <a:avLst/>
        </a:prstGeom>
        <a:blipFill>
          <a:blip xmlns:r="http://schemas.openxmlformats.org/officeDocument/2006/relationships" r:embed="rId9"/>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470940</xdr:colOff>
      <xdr:row>83</xdr:row>
      <xdr:rowOff>563881</xdr:rowOff>
    </xdr:from>
    <xdr:to>
      <xdr:col>10</xdr:col>
      <xdr:colOff>869745</xdr:colOff>
      <xdr:row>86</xdr:row>
      <xdr:rowOff>563881</xdr:rowOff>
    </xdr:to>
    <xdr:pic>
      <xdr:nvPicPr>
        <xdr:cNvPr id="27" name="Picture 26"/>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val="0"/>
            </a:ext>
          </a:extLst>
        </a:blip>
        <a:stretch>
          <a:fillRect/>
        </a:stretch>
      </xdr:blipFill>
      <xdr:spPr>
        <a:xfrm rot="16200000">
          <a:off x="6994943" y="31210238"/>
          <a:ext cx="2743200" cy="3904005"/>
        </a:xfrm>
        <a:prstGeom prst="rect">
          <a:avLst/>
        </a:prstGeom>
      </xdr:spPr>
    </xdr:pic>
    <xdr:clientData/>
  </xdr:twoCellAnchor>
  <xdr:twoCellAnchor>
    <xdr:from>
      <xdr:col>8</xdr:col>
      <xdr:colOff>15240</xdr:colOff>
      <xdr:row>83</xdr:row>
      <xdr:rowOff>121920</xdr:rowOff>
    </xdr:from>
    <xdr:to>
      <xdr:col>11</xdr:col>
      <xdr:colOff>449147</xdr:colOff>
      <xdr:row>86</xdr:row>
      <xdr:rowOff>762000</xdr:rowOff>
    </xdr:to>
    <xdr:sp macro="" textlink="">
      <xdr:nvSpPr>
        <xdr:cNvPr id="29" name="Rounded Rectangle 28"/>
        <xdr:cNvSpPr>
          <a:spLocks noChangeAspect="1"/>
        </xdr:cNvSpPr>
      </xdr:nvSpPr>
      <xdr:spPr>
        <a:xfrm>
          <a:off x="5958840" y="31348680"/>
          <a:ext cx="4815407"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3</xdr:col>
      <xdr:colOff>0</xdr:colOff>
      <xdr:row>92</xdr:row>
      <xdr:rowOff>0</xdr:rowOff>
    </xdr:from>
    <xdr:to>
      <xdr:col>6</xdr:col>
      <xdr:colOff>653600</xdr:colOff>
      <xdr:row>102</xdr:row>
      <xdr:rowOff>0</xdr:rowOff>
    </xdr:to>
    <xdr:sp macro="" textlink="">
      <xdr:nvSpPr>
        <xdr:cNvPr id="32" name="Rounded Rectangle 31"/>
        <xdr:cNvSpPr>
          <a:spLocks noChangeAspect="1"/>
        </xdr:cNvSpPr>
      </xdr:nvSpPr>
      <xdr:spPr>
        <a:xfrm>
          <a:off x="982980" y="36438840"/>
          <a:ext cx="3419660" cy="2286000"/>
        </a:xfrm>
        <a:prstGeom prst="roundRect">
          <a:avLst/>
        </a:prstGeom>
        <a:blipFill>
          <a:blip xmlns:r="http://schemas.openxmlformats.org/officeDocument/2006/relationships" r:embed="rId11"/>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7</xdr:col>
      <xdr:colOff>63961</xdr:colOff>
      <xdr:row>93</xdr:row>
      <xdr:rowOff>114300</xdr:rowOff>
    </xdr:from>
    <xdr:to>
      <xdr:col>9</xdr:col>
      <xdr:colOff>438333</xdr:colOff>
      <xdr:row>101</xdr:row>
      <xdr:rowOff>114300</xdr:rowOff>
    </xdr:to>
    <xdr:pic>
      <xdr:nvPicPr>
        <xdr:cNvPr id="36" name="Picture 35"/>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val="0"/>
            </a:ext>
          </a:extLst>
        </a:blip>
        <a:stretch>
          <a:fillRect/>
        </a:stretch>
      </xdr:blipFill>
      <xdr:spPr>
        <a:xfrm rot="16200000">
          <a:off x="5280347" y="36411674"/>
          <a:ext cx="1828800" cy="2568932"/>
        </a:xfrm>
        <a:prstGeom prst="rect">
          <a:avLst/>
        </a:prstGeom>
      </xdr:spPr>
    </xdr:pic>
    <xdr:clientData/>
  </xdr:twoCellAnchor>
  <xdr:twoCellAnchor>
    <xdr:from>
      <xdr:col>6</xdr:col>
      <xdr:colOff>800100</xdr:colOff>
      <xdr:row>92</xdr:row>
      <xdr:rowOff>0</xdr:rowOff>
    </xdr:from>
    <xdr:to>
      <xdr:col>9</xdr:col>
      <xdr:colOff>927920</xdr:colOff>
      <xdr:row>102</xdr:row>
      <xdr:rowOff>0</xdr:rowOff>
    </xdr:to>
    <xdr:sp macro="" textlink="">
      <xdr:nvSpPr>
        <xdr:cNvPr id="37" name="Rounded Rectangle 36"/>
        <xdr:cNvSpPr>
          <a:spLocks noChangeAspect="1"/>
        </xdr:cNvSpPr>
      </xdr:nvSpPr>
      <xdr:spPr>
        <a:xfrm>
          <a:off x="4549140" y="36438840"/>
          <a:ext cx="3419660" cy="228600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ALTERNATIVE PLAN VIEW</a:t>
          </a:r>
        </a:p>
      </xdr:txBody>
    </xdr:sp>
    <xdr:clientData/>
  </xdr:twoCellAnchor>
  <xdr:twoCellAnchor>
    <xdr:from>
      <xdr:col>2</xdr:col>
      <xdr:colOff>0</xdr:colOff>
      <xdr:row>5</xdr:row>
      <xdr:rowOff>335280</xdr:rowOff>
    </xdr:from>
    <xdr:to>
      <xdr:col>3</xdr:col>
      <xdr:colOff>60960</xdr:colOff>
      <xdr:row>5</xdr:row>
      <xdr:rowOff>792480</xdr:rowOff>
    </xdr:to>
    <xdr:sp macro="" textlink="">
      <xdr:nvSpPr>
        <xdr:cNvPr id="22" name="Oval 21"/>
        <xdr:cNvSpPr/>
      </xdr:nvSpPr>
      <xdr:spPr>
        <a:xfrm>
          <a:off x="58674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579120</xdr:rowOff>
    </xdr:from>
    <xdr:to>
      <xdr:col>3</xdr:col>
      <xdr:colOff>60960</xdr:colOff>
      <xdr:row>5</xdr:row>
      <xdr:rowOff>121920</xdr:rowOff>
    </xdr:to>
    <xdr:sp macro="" textlink="">
      <xdr:nvSpPr>
        <xdr:cNvPr id="24" name="Oval 23"/>
        <xdr:cNvSpPr/>
      </xdr:nvSpPr>
      <xdr:spPr>
        <a:xfrm>
          <a:off x="58674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106680</xdr:rowOff>
    </xdr:from>
    <xdr:to>
      <xdr:col>3</xdr:col>
      <xdr:colOff>60960</xdr:colOff>
      <xdr:row>6</xdr:row>
      <xdr:rowOff>563880</xdr:rowOff>
    </xdr:to>
    <xdr:sp macro="" textlink="">
      <xdr:nvSpPr>
        <xdr:cNvPr id="25" name="Oval 24"/>
        <xdr:cNvSpPr/>
      </xdr:nvSpPr>
      <xdr:spPr>
        <a:xfrm>
          <a:off x="58674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563880</xdr:rowOff>
    </xdr:from>
    <xdr:to>
      <xdr:col>4</xdr:col>
      <xdr:colOff>251460</xdr:colOff>
      <xdr:row>5</xdr:row>
      <xdr:rowOff>563880</xdr:rowOff>
    </xdr:to>
    <xdr:cxnSp macro="">
      <xdr:nvCxnSpPr>
        <xdr:cNvPr id="28" name="Straight Arrow Connector 27"/>
        <xdr:cNvCxnSpPr>
          <a:stCxn id="22" idx="6"/>
        </xdr:cNvCxnSpPr>
      </xdr:nvCxnSpPr>
      <xdr:spPr>
        <a:xfrm>
          <a:off x="1043940" y="2987040"/>
          <a:ext cx="216408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5</xdr:row>
      <xdr:rowOff>403860</xdr:rowOff>
    </xdr:from>
    <xdr:to>
      <xdr:col>6</xdr:col>
      <xdr:colOff>739140</xdr:colOff>
      <xdr:row>6</xdr:row>
      <xdr:rowOff>350520</xdr:rowOff>
    </xdr:to>
    <xdr:cxnSp macro="">
      <xdr:nvCxnSpPr>
        <xdr:cNvPr id="30" name="Elbow Connector 29"/>
        <xdr:cNvCxnSpPr/>
      </xdr:nvCxnSpPr>
      <xdr:spPr>
        <a:xfrm flipV="1">
          <a:off x="1059180" y="2827020"/>
          <a:ext cx="3429000" cy="861060"/>
        </a:xfrm>
        <a:prstGeom prst="bentConnector3">
          <a:avLst>
            <a:gd name="adj1" fmla="val 9977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771526</xdr:rowOff>
    </xdr:from>
    <xdr:to>
      <xdr:col>3</xdr:col>
      <xdr:colOff>60960</xdr:colOff>
      <xdr:row>7</xdr:row>
      <xdr:rowOff>314326</xdr:rowOff>
    </xdr:to>
    <xdr:sp macro="" textlink="">
      <xdr:nvSpPr>
        <xdr:cNvPr id="31" name="Oval 30"/>
        <xdr:cNvSpPr/>
      </xdr:nvSpPr>
      <xdr:spPr>
        <a:xfrm>
          <a:off x="586740" y="410908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4</xdr:row>
      <xdr:rowOff>807720</xdr:rowOff>
    </xdr:from>
    <xdr:to>
      <xdr:col>3</xdr:col>
      <xdr:colOff>1295400</xdr:colOff>
      <xdr:row>5</xdr:row>
      <xdr:rowOff>342900</xdr:rowOff>
    </xdr:to>
    <xdr:cxnSp macro="">
      <xdr:nvCxnSpPr>
        <xdr:cNvPr id="33" name="Elbow Connector 32"/>
        <xdr:cNvCxnSpPr>
          <a:stCxn id="24" idx="6"/>
        </xdr:cNvCxnSpPr>
      </xdr:nvCxnSpPr>
      <xdr:spPr>
        <a:xfrm>
          <a:off x="1043940" y="2316480"/>
          <a:ext cx="1234440" cy="449580"/>
        </a:xfrm>
        <a:prstGeom prst="bentConnector3">
          <a:avLst>
            <a:gd name="adj1" fmla="val 32099"/>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800100</xdr:rowOff>
    </xdr:from>
    <xdr:to>
      <xdr:col>7</xdr:col>
      <xdr:colOff>876300</xdr:colOff>
      <xdr:row>7</xdr:row>
      <xdr:rowOff>85726</xdr:rowOff>
    </xdr:to>
    <xdr:cxnSp macro="">
      <xdr:nvCxnSpPr>
        <xdr:cNvPr id="34" name="Elbow Connector 33"/>
        <xdr:cNvCxnSpPr>
          <a:stCxn id="31" idx="6"/>
        </xdr:cNvCxnSpPr>
      </xdr:nvCxnSpPr>
      <xdr:spPr>
        <a:xfrm flipV="1">
          <a:off x="1043940" y="3223260"/>
          <a:ext cx="4678680" cy="1114426"/>
        </a:xfrm>
        <a:prstGeom prst="bentConnector3">
          <a:avLst>
            <a:gd name="adj1" fmla="val 9983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670560</xdr:rowOff>
    </xdr:from>
    <xdr:to>
      <xdr:col>3</xdr:col>
      <xdr:colOff>60960</xdr:colOff>
      <xdr:row>31</xdr:row>
      <xdr:rowOff>213360</xdr:rowOff>
    </xdr:to>
    <xdr:sp macro="" textlink="">
      <xdr:nvSpPr>
        <xdr:cNvPr id="40" name="Oval 39"/>
        <xdr:cNvSpPr/>
      </xdr:nvSpPr>
      <xdr:spPr>
        <a:xfrm>
          <a:off x="586740" y="12969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30</xdr:row>
      <xdr:rowOff>0</xdr:rowOff>
    </xdr:from>
    <xdr:to>
      <xdr:col>3</xdr:col>
      <xdr:colOff>60960</xdr:colOff>
      <xdr:row>30</xdr:row>
      <xdr:rowOff>457200</xdr:rowOff>
    </xdr:to>
    <xdr:sp macro="" textlink="">
      <xdr:nvSpPr>
        <xdr:cNvPr id="41" name="Oval 40"/>
        <xdr:cNvSpPr/>
      </xdr:nvSpPr>
      <xdr:spPr>
        <a:xfrm>
          <a:off x="586740" y="122986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30</xdr:row>
      <xdr:rowOff>228600</xdr:rowOff>
    </xdr:from>
    <xdr:to>
      <xdr:col>3</xdr:col>
      <xdr:colOff>1165860</xdr:colOff>
      <xdr:row>30</xdr:row>
      <xdr:rowOff>762000</xdr:rowOff>
    </xdr:to>
    <xdr:cxnSp macro="">
      <xdr:nvCxnSpPr>
        <xdr:cNvPr id="42" name="Elbow Connector 41"/>
        <xdr:cNvCxnSpPr>
          <a:stCxn id="41" idx="6"/>
        </xdr:cNvCxnSpPr>
      </xdr:nvCxnSpPr>
      <xdr:spPr>
        <a:xfrm>
          <a:off x="1043940" y="12527280"/>
          <a:ext cx="1104900" cy="533400"/>
        </a:xfrm>
        <a:prstGeom prst="bentConnector3">
          <a:avLst>
            <a:gd name="adj1" fmla="val 3413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30</xdr:row>
      <xdr:rowOff>885643</xdr:rowOff>
    </xdr:from>
    <xdr:to>
      <xdr:col>5</xdr:col>
      <xdr:colOff>259080</xdr:colOff>
      <xdr:row>30</xdr:row>
      <xdr:rowOff>899160</xdr:rowOff>
    </xdr:to>
    <xdr:cxnSp macro="">
      <xdr:nvCxnSpPr>
        <xdr:cNvPr id="43" name="Straight Connector 42"/>
        <xdr:cNvCxnSpPr>
          <a:stCxn id="40" idx="6"/>
        </xdr:cNvCxnSpPr>
      </xdr:nvCxnSpPr>
      <xdr:spPr>
        <a:xfrm flipV="1">
          <a:off x="1043940" y="13184323"/>
          <a:ext cx="2567940" cy="13517"/>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57</xdr:row>
      <xdr:rowOff>670560</xdr:rowOff>
    </xdr:from>
    <xdr:to>
      <xdr:col>3</xdr:col>
      <xdr:colOff>60960</xdr:colOff>
      <xdr:row>58</xdr:row>
      <xdr:rowOff>213360</xdr:rowOff>
    </xdr:to>
    <xdr:sp macro="" textlink="">
      <xdr:nvSpPr>
        <xdr:cNvPr id="48" name="Oval 47"/>
        <xdr:cNvSpPr/>
      </xdr:nvSpPr>
      <xdr:spPr>
        <a:xfrm>
          <a:off x="586740" y="228904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57</xdr:row>
      <xdr:rowOff>0</xdr:rowOff>
    </xdr:from>
    <xdr:to>
      <xdr:col>3</xdr:col>
      <xdr:colOff>60960</xdr:colOff>
      <xdr:row>57</xdr:row>
      <xdr:rowOff>457200</xdr:rowOff>
    </xdr:to>
    <xdr:sp macro="" textlink="">
      <xdr:nvSpPr>
        <xdr:cNvPr id="49" name="Oval 48"/>
        <xdr:cNvSpPr/>
      </xdr:nvSpPr>
      <xdr:spPr>
        <a:xfrm>
          <a:off x="586740" y="222199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57</xdr:row>
      <xdr:rowOff>228600</xdr:rowOff>
    </xdr:from>
    <xdr:to>
      <xdr:col>4</xdr:col>
      <xdr:colOff>259080</xdr:colOff>
      <xdr:row>57</xdr:row>
      <xdr:rowOff>731520</xdr:rowOff>
    </xdr:to>
    <xdr:cxnSp macro="">
      <xdr:nvCxnSpPr>
        <xdr:cNvPr id="50" name="Elbow Connector 49"/>
        <xdr:cNvCxnSpPr>
          <a:stCxn id="49" idx="6"/>
        </xdr:cNvCxnSpPr>
      </xdr:nvCxnSpPr>
      <xdr:spPr>
        <a:xfrm>
          <a:off x="1043940" y="22448520"/>
          <a:ext cx="2171700" cy="502920"/>
        </a:xfrm>
        <a:prstGeom prst="bentConnector3">
          <a:avLst>
            <a:gd name="adj1" fmla="val 9982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57</xdr:row>
      <xdr:rowOff>891860</xdr:rowOff>
    </xdr:from>
    <xdr:to>
      <xdr:col>3</xdr:col>
      <xdr:colOff>1447800</xdr:colOff>
      <xdr:row>57</xdr:row>
      <xdr:rowOff>899160</xdr:rowOff>
    </xdr:to>
    <xdr:cxnSp macro="">
      <xdr:nvCxnSpPr>
        <xdr:cNvPr id="51" name="Straight Connector 50"/>
        <xdr:cNvCxnSpPr>
          <a:stCxn id="48" idx="6"/>
        </xdr:cNvCxnSpPr>
      </xdr:nvCxnSpPr>
      <xdr:spPr>
        <a:xfrm flipV="1">
          <a:off x="1043940" y="23111780"/>
          <a:ext cx="1386840" cy="730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84</xdr:row>
      <xdr:rowOff>670560</xdr:rowOff>
    </xdr:from>
    <xdr:to>
      <xdr:col>3</xdr:col>
      <xdr:colOff>60960</xdr:colOff>
      <xdr:row>85</xdr:row>
      <xdr:rowOff>213360</xdr:rowOff>
    </xdr:to>
    <xdr:sp macro="" textlink="">
      <xdr:nvSpPr>
        <xdr:cNvPr id="59" name="Oval 58"/>
        <xdr:cNvSpPr/>
      </xdr:nvSpPr>
      <xdr:spPr>
        <a:xfrm>
          <a:off x="586740" y="32811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84</xdr:row>
      <xdr:rowOff>0</xdr:rowOff>
    </xdr:from>
    <xdr:to>
      <xdr:col>3</xdr:col>
      <xdr:colOff>60960</xdr:colOff>
      <xdr:row>84</xdr:row>
      <xdr:rowOff>457200</xdr:rowOff>
    </xdr:to>
    <xdr:sp macro="" textlink="">
      <xdr:nvSpPr>
        <xdr:cNvPr id="60" name="Oval 59"/>
        <xdr:cNvSpPr/>
      </xdr:nvSpPr>
      <xdr:spPr>
        <a:xfrm>
          <a:off x="586740" y="32141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84</xdr:row>
      <xdr:rowOff>228600</xdr:rowOff>
    </xdr:from>
    <xdr:to>
      <xdr:col>4</xdr:col>
      <xdr:colOff>259080</xdr:colOff>
      <xdr:row>84</xdr:row>
      <xdr:rowOff>731520</xdr:rowOff>
    </xdr:to>
    <xdr:cxnSp macro="">
      <xdr:nvCxnSpPr>
        <xdr:cNvPr id="61" name="Elbow Connector 60"/>
        <xdr:cNvCxnSpPr>
          <a:stCxn id="60" idx="6"/>
        </xdr:cNvCxnSpPr>
      </xdr:nvCxnSpPr>
      <xdr:spPr>
        <a:xfrm>
          <a:off x="1043940" y="32369760"/>
          <a:ext cx="2171700" cy="502920"/>
        </a:xfrm>
        <a:prstGeom prst="bentConnector3">
          <a:avLst>
            <a:gd name="adj1" fmla="val 9982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84</xdr:row>
      <xdr:rowOff>891860</xdr:rowOff>
    </xdr:from>
    <xdr:to>
      <xdr:col>3</xdr:col>
      <xdr:colOff>1447800</xdr:colOff>
      <xdr:row>84</xdr:row>
      <xdr:rowOff>899160</xdr:rowOff>
    </xdr:to>
    <xdr:cxnSp macro="">
      <xdr:nvCxnSpPr>
        <xdr:cNvPr id="62" name="Straight Connector 61"/>
        <xdr:cNvCxnSpPr>
          <a:stCxn id="59" idx="6"/>
        </xdr:cNvCxnSpPr>
      </xdr:nvCxnSpPr>
      <xdr:spPr>
        <a:xfrm flipV="1">
          <a:off x="1043940" y="33033020"/>
          <a:ext cx="1386840" cy="730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3</xdr:col>
      <xdr:colOff>1415143</xdr:colOff>
      <xdr:row>23</xdr:row>
      <xdr:rowOff>42673</xdr:rowOff>
    </xdr:to>
    <xdr:pic>
      <xdr:nvPicPr>
        <xdr:cNvPr id="4"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98429"/>
          <a:ext cx="1828800" cy="499872"/>
        </a:xfrm>
        <a:prstGeom prst="rect">
          <a:avLst/>
        </a:prstGeom>
      </xdr:spPr>
    </xdr:pic>
    <xdr:clientData/>
  </xdr:twoCellAnchor>
  <xdr:oneCellAnchor>
    <xdr:from>
      <xdr:col>2</xdr:col>
      <xdr:colOff>0</xdr:colOff>
      <xdr:row>44</xdr:row>
      <xdr:rowOff>0</xdr:rowOff>
    </xdr:from>
    <xdr:ext cx="1827519" cy="508837"/>
    <xdr:pic>
      <xdr:nvPicPr>
        <xdr:cNvPr id="5"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9269506"/>
          <a:ext cx="1827519" cy="508837"/>
        </a:xfrm>
        <a:prstGeom prst="rect">
          <a:avLst/>
        </a:prstGeom>
      </xdr:spPr>
    </xdr:pic>
    <xdr:clientData/>
  </xdr:oneCellAnchor>
  <xdr:oneCellAnchor>
    <xdr:from>
      <xdr:col>2</xdr:col>
      <xdr:colOff>0</xdr:colOff>
      <xdr:row>71</xdr:row>
      <xdr:rowOff>0</xdr:rowOff>
    </xdr:from>
    <xdr:ext cx="1827519" cy="508837"/>
    <xdr:pic>
      <xdr:nvPicPr>
        <xdr:cNvPr id="6"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9238259"/>
          <a:ext cx="1827519" cy="508837"/>
        </a:xfrm>
        <a:prstGeom prst="rect">
          <a:avLst/>
        </a:prstGeom>
      </xdr:spPr>
    </xdr:pic>
    <xdr:clientData/>
  </xdr:oneCellAnchor>
  <xdr:twoCellAnchor>
    <xdr:from>
      <xdr:col>3</xdr:col>
      <xdr:colOff>0</xdr:colOff>
      <xdr:row>4</xdr:row>
      <xdr:rowOff>121920</xdr:rowOff>
    </xdr:from>
    <xdr:to>
      <xdr:col>7</xdr:col>
      <xdr:colOff>846187</xdr:colOff>
      <xdr:row>7</xdr:row>
      <xdr:rowOff>762000</xdr:rowOff>
    </xdr:to>
    <xdr:sp macro="" textlink="">
      <xdr:nvSpPr>
        <xdr:cNvPr id="8" name="Rounded Rectangle 7"/>
        <xdr:cNvSpPr>
          <a:spLocks noChangeAspect="1"/>
        </xdr:cNvSpPr>
      </xdr:nvSpPr>
      <xdr:spPr>
        <a:xfrm>
          <a:off x="982980" y="1630680"/>
          <a:ext cx="4709527" cy="3383280"/>
        </a:xfrm>
        <a:prstGeom prst="roundRect">
          <a:avLst/>
        </a:prstGeom>
        <a:blipFill>
          <a:blip xmlns:r="http://schemas.openxmlformats.org/officeDocument/2006/relationships" r:embed="rId3"/>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304743</xdr:colOff>
      <xdr:row>4</xdr:row>
      <xdr:rowOff>563880</xdr:rowOff>
    </xdr:from>
    <xdr:to>
      <xdr:col>10</xdr:col>
      <xdr:colOff>319628</xdr:colOff>
      <xdr:row>7</xdr:row>
      <xdr:rowOff>563880</xdr:rowOff>
    </xdr:to>
    <xdr:pic>
      <xdr:nvPicPr>
        <xdr:cNvPr id="9" name="Picture 8"/>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248343" y="2072640"/>
          <a:ext cx="3520085" cy="2743200"/>
        </a:xfrm>
        <a:prstGeom prst="rect">
          <a:avLst/>
        </a:prstGeom>
      </xdr:spPr>
    </xdr:pic>
    <xdr:clientData/>
  </xdr:twoCellAnchor>
  <xdr:twoCellAnchor>
    <xdr:from>
      <xdr:col>7</xdr:col>
      <xdr:colOff>990600</xdr:colOff>
      <xdr:row>4</xdr:row>
      <xdr:rowOff>121920</xdr:rowOff>
    </xdr:from>
    <xdr:to>
      <xdr:col>10</xdr:col>
      <xdr:colOff>731051</xdr:colOff>
      <xdr:row>7</xdr:row>
      <xdr:rowOff>762000</xdr:rowOff>
    </xdr:to>
    <xdr:sp macro="" textlink="">
      <xdr:nvSpPr>
        <xdr:cNvPr id="11" name="Rounded Rectangle 10"/>
        <xdr:cNvSpPr>
          <a:spLocks noChangeAspect="1"/>
        </xdr:cNvSpPr>
      </xdr:nvSpPr>
      <xdr:spPr>
        <a:xfrm>
          <a:off x="5836920" y="1630680"/>
          <a:ext cx="4342931"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3</xdr:col>
      <xdr:colOff>0</xdr:colOff>
      <xdr:row>28</xdr:row>
      <xdr:rowOff>121920</xdr:rowOff>
    </xdr:from>
    <xdr:to>
      <xdr:col>7</xdr:col>
      <xdr:colOff>1022121</xdr:colOff>
      <xdr:row>31</xdr:row>
      <xdr:rowOff>762000</xdr:rowOff>
    </xdr:to>
    <xdr:sp macro="" textlink="">
      <xdr:nvSpPr>
        <xdr:cNvPr id="14" name="Rounded Rectangle 13"/>
        <xdr:cNvSpPr>
          <a:spLocks noChangeAspect="1"/>
        </xdr:cNvSpPr>
      </xdr:nvSpPr>
      <xdr:spPr>
        <a:xfrm>
          <a:off x="982980" y="11483340"/>
          <a:ext cx="4885461" cy="3383280"/>
        </a:xfrm>
        <a:prstGeom prst="roundRect">
          <a:avLst/>
        </a:prstGeom>
        <a:blipFill>
          <a:blip xmlns:r="http://schemas.openxmlformats.org/officeDocument/2006/relationships" r:embed="rId5"/>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908297</xdr:colOff>
      <xdr:row>28</xdr:row>
      <xdr:rowOff>571500</xdr:rowOff>
    </xdr:from>
    <xdr:to>
      <xdr:col>11</xdr:col>
      <xdr:colOff>511854</xdr:colOff>
      <xdr:row>31</xdr:row>
      <xdr:rowOff>571500</xdr:rowOff>
    </xdr:to>
    <xdr:pic>
      <xdr:nvPicPr>
        <xdr:cNvPr id="15" name="Picture 14"/>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6851897" y="11932920"/>
          <a:ext cx="3985057" cy="2743200"/>
        </a:xfrm>
        <a:prstGeom prst="rect">
          <a:avLst/>
        </a:prstGeom>
      </xdr:spPr>
    </xdr:pic>
    <xdr:clientData/>
  </xdr:twoCellAnchor>
  <xdr:twoCellAnchor>
    <xdr:from>
      <xdr:col>8</xdr:col>
      <xdr:colOff>419100</xdr:colOff>
      <xdr:row>28</xdr:row>
      <xdr:rowOff>106680</xdr:rowOff>
    </xdr:from>
    <xdr:to>
      <xdr:col>13</xdr:col>
      <xdr:colOff>76200</xdr:colOff>
      <xdr:row>31</xdr:row>
      <xdr:rowOff>746760</xdr:rowOff>
    </xdr:to>
    <xdr:sp macro="" textlink="">
      <xdr:nvSpPr>
        <xdr:cNvPr id="16" name="Rounded Rectangle 15"/>
        <xdr:cNvSpPr>
          <a:spLocks noChangeAspect="1"/>
        </xdr:cNvSpPr>
      </xdr:nvSpPr>
      <xdr:spPr>
        <a:xfrm>
          <a:off x="6362700" y="11468100"/>
          <a:ext cx="4914900"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3</xdr:col>
      <xdr:colOff>0</xdr:colOff>
      <xdr:row>51</xdr:row>
      <xdr:rowOff>121920</xdr:rowOff>
    </xdr:from>
    <xdr:to>
      <xdr:col>7</xdr:col>
      <xdr:colOff>467261</xdr:colOff>
      <xdr:row>54</xdr:row>
      <xdr:rowOff>762000</xdr:rowOff>
    </xdr:to>
    <xdr:sp macro="" textlink="">
      <xdr:nvSpPr>
        <xdr:cNvPr id="20" name="Rounded Rectangle 19"/>
        <xdr:cNvSpPr>
          <a:spLocks noChangeAspect="1"/>
        </xdr:cNvSpPr>
      </xdr:nvSpPr>
      <xdr:spPr>
        <a:xfrm>
          <a:off x="982980" y="21313140"/>
          <a:ext cx="4330601" cy="3383280"/>
        </a:xfrm>
        <a:prstGeom prst="roundRect">
          <a:avLst/>
        </a:prstGeom>
        <a:blipFill>
          <a:blip xmlns:r="http://schemas.openxmlformats.org/officeDocument/2006/relationships" r:embed="rId7"/>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7</xdr:col>
      <xdr:colOff>957626</xdr:colOff>
      <xdr:row>51</xdr:row>
      <xdr:rowOff>609600</xdr:rowOff>
    </xdr:from>
    <xdr:to>
      <xdr:col>9</xdr:col>
      <xdr:colOff>1744241</xdr:colOff>
      <xdr:row>54</xdr:row>
      <xdr:rowOff>609600</xdr:rowOff>
    </xdr:to>
    <xdr:pic>
      <xdr:nvPicPr>
        <xdr:cNvPr id="21" name="Picture 20"/>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Lst>
        </a:blip>
        <a:stretch>
          <a:fillRect/>
        </a:stretch>
      </xdr:blipFill>
      <xdr:spPr>
        <a:xfrm>
          <a:off x="5803946" y="21800820"/>
          <a:ext cx="2981175" cy="2743200"/>
        </a:xfrm>
        <a:prstGeom prst="rect">
          <a:avLst/>
        </a:prstGeom>
      </xdr:spPr>
    </xdr:pic>
    <xdr:clientData/>
  </xdr:twoCellAnchor>
  <xdr:twoCellAnchor>
    <xdr:from>
      <xdr:col>7</xdr:col>
      <xdr:colOff>609600</xdr:colOff>
      <xdr:row>51</xdr:row>
      <xdr:rowOff>121920</xdr:rowOff>
    </xdr:from>
    <xdr:to>
      <xdr:col>9</xdr:col>
      <xdr:colOff>2092267</xdr:colOff>
      <xdr:row>54</xdr:row>
      <xdr:rowOff>762000</xdr:rowOff>
    </xdr:to>
    <xdr:sp macro="" textlink="">
      <xdr:nvSpPr>
        <xdr:cNvPr id="23" name="Rounded Rectangle 22"/>
        <xdr:cNvSpPr>
          <a:spLocks noChangeAspect="1"/>
        </xdr:cNvSpPr>
      </xdr:nvSpPr>
      <xdr:spPr>
        <a:xfrm>
          <a:off x="5455920" y="21313140"/>
          <a:ext cx="3677227"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2</xdr:col>
      <xdr:colOff>0</xdr:colOff>
      <xdr:row>52</xdr:row>
      <xdr:rowOff>670560</xdr:rowOff>
    </xdr:from>
    <xdr:to>
      <xdr:col>3</xdr:col>
      <xdr:colOff>60960</xdr:colOff>
      <xdr:row>53</xdr:row>
      <xdr:rowOff>213360</xdr:rowOff>
    </xdr:to>
    <xdr:sp macro="" textlink="">
      <xdr:nvSpPr>
        <xdr:cNvPr id="17" name="Oval 16"/>
        <xdr:cNvSpPr/>
      </xdr:nvSpPr>
      <xdr:spPr>
        <a:xfrm>
          <a:off x="586740" y="227761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52</xdr:row>
      <xdr:rowOff>0</xdr:rowOff>
    </xdr:from>
    <xdr:to>
      <xdr:col>3</xdr:col>
      <xdr:colOff>60960</xdr:colOff>
      <xdr:row>52</xdr:row>
      <xdr:rowOff>457200</xdr:rowOff>
    </xdr:to>
    <xdr:sp macro="" textlink="">
      <xdr:nvSpPr>
        <xdr:cNvPr id="18" name="Oval 17"/>
        <xdr:cNvSpPr/>
      </xdr:nvSpPr>
      <xdr:spPr>
        <a:xfrm>
          <a:off x="586740" y="221056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52</xdr:row>
      <xdr:rowOff>228600</xdr:rowOff>
    </xdr:from>
    <xdr:to>
      <xdr:col>4</xdr:col>
      <xdr:colOff>213360</xdr:colOff>
      <xdr:row>52</xdr:row>
      <xdr:rowOff>457200</xdr:rowOff>
    </xdr:to>
    <xdr:cxnSp macro="">
      <xdr:nvCxnSpPr>
        <xdr:cNvPr id="19" name="Elbow Connector 18"/>
        <xdr:cNvCxnSpPr>
          <a:stCxn id="18" idx="6"/>
        </xdr:cNvCxnSpPr>
      </xdr:nvCxnSpPr>
      <xdr:spPr>
        <a:xfrm>
          <a:off x="1043940" y="22334220"/>
          <a:ext cx="2125980" cy="228600"/>
        </a:xfrm>
        <a:prstGeom prst="bentConnector3">
          <a:avLst>
            <a:gd name="adj1" fmla="val 9982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52</xdr:row>
      <xdr:rowOff>899160</xdr:rowOff>
    </xdr:from>
    <xdr:to>
      <xdr:col>6</xdr:col>
      <xdr:colOff>99060</xdr:colOff>
      <xdr:row>53</xdr:row>
      <xdr:rowOff>243840</xdr:rowOff>
    </xdr:to>
    <xdr:cxnSp macro="">
      <xdr:nvCxnSpPr>
        <xdr:cNvPr id="24" name="Elbow Connector 23"/>
        <xdr:cNvCxnSpPr>
          <a:stCxn id="17" idx="6"/>
        </xdr:cNvCxnSpPr>
      </xdr:nvCxnSpPr>
      <xdr:spPr>
        <a:xfrm>
          <a:off x="1043940" y="23004780"/>
          <a:ext cx="2804160" cy="259080"/>
        </a:xfrm>
        <a:prstGeom prst="bentConnector3">
          <a:avLst>
            <a:gd name="adj1" fmla="val 1766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899160</xdr:rowOff>
    </xdr:from>
    <xdr:to>
      <xdr:col>3</xdr:col>
      <xdr:colOff>60960</xdr:colOff>
      <xdr:row>5</xdr:row>
      <xdr:rowOff>441960</xdr:rowOff>
    </xdr:to>
    <xdr:sp macro="" textlink="">
      <xdr:nvSpPr>
        <xdr:cNvPr id="25" name="Oval 24"/>
        <xdr:cNvSpPr/>
      </xdr:nvSpPr>
      <xdr:spPr>
        <a:xfrm>
          <a:off x="586740" y="24079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228600</xdr:rowOff>
    </xdr:from>
    <xdr:to>
      <xdr:col>3</xdr:col>
      <xdr:colOff>60960</xdr:colOff>
      <xdr:row>4</xdr:row>
      <xdr:rowOff>685800</xdr:rowOff>
    </xdr:to>
    <xdr:sp macro="" textlink="">
      <xdr:nvSpPr>
        <xdr:cNvPr id="26" name="Oval 25"/>
        <xdr:cNvSpPr/>
      </xdr:nvSpPr>
      <xdr:spPr>
        <a:xfrm>
          <a:off x="586740" y="17373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5</xdr:row>
      <xdr:rowOff>670560</xdr:rowOff>
    </xdr:from>
    <xdr:to>
      <xdr:col>3</xdr:col>
      <xdr:colOff>60960</xdr:colOff>
      <xdr:row>6</xdr:row>
      <xdr:rowOff>213360</xdr:rowOff>
    </xdr:to>
    <xdr:sp macro="" textlink="">
      <xdr:nvSpPr>
        <xdr:cNvPr id="27" name="Oval 26"/>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2</xdr:col>
      <xdr:colOff>0</xdr:colOff>
      <xdr:row>6</xdr:row>
      <xdr:rowOff>421006</xdr:rowOff>
    </xdr:from>
    <xdr:to>
      <xdr:col>3</xdr:col>
      <xdr:colOff>60960</xdr:colOff>
      <xdr:row>6</xdr:row>
      <xdr:rowOff>878206</xdr:rowOff>
    </xdr:to>
    <xdr:sp macro="" textlink="">
      <xdr:nvSpPr>
        <xdr:cNvPr id="28" name="Oval 27"/>
        <xdr:cNvSpPr/>
      </xdr:nvSpPr>
      <xdr:spPr>
        <a:xfrm>
          <a:off x="586740" y="375856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2</xdr:col>
      <xdr:colOff>0</xdr:colOff>
      <xdr:row>7</xdr:row>
      <xdr:rowOff>175681</xdr:rowOff>
    </xdr:from>
    <xdr:to>
      <xdr:col>3</xdr:col>
      <xdr:colOff>60960</xdr:colOff>
      <xdr:row>7</xdr:row>
      <xdr:rowOff>632881</xdr:rowOff>
    </xdr:to>
    <xdr:sp macro="" textlink="">
      <xdr:nvSpPr>
        <xdr:cNvPr id="29" name="Oval 28"/>
        <xdr:cNvSpPr/>
      </xdr:nvSpPr>
      <xdr:spPr>
        <a:xfrm>
          <a:off x="586740" y="4427641"/>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3</xdr:col>
      <xdr:colOff>60960</xdr:colOff>
      <xdr:row>4</xdr:row>
      <xdr:rowOff>457200</xdr:rowOff>
    </xdr:from>
    <xdr:to>
      <xdr:col>6</xdr:col>
      <xdr:colOff>251460</xdr:colOff>
      <xdr:row>5</xdr:row>
      <xdr:rowOff>533400</xdr:rowOff>
    </xdr:to>
    <xdr:cxnSp macro="">
      <xdr:nvCxnSpPr>
        <xdr:cNvPr id="30" name="Elbow Connector 29"/>
        <xdr:cNvCxnSpPr>
          <a:stCxn id="26" idx="6"/>
        </xdr:cNvCxnSpPr>
      </xdr:nvCxnSpPr>
      <xdr:spPr>
        <a:xfrm>
          <a:off x="1043940" y="1965960"/>
          <a:ext cx="2956560" cy="990600"/>
        </a:xfrm>
        <a:prstGeom prst="bentConnector3">
          <a:avLst>
            <a:gd name="adj1" fmla="val 10025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899160</xdr:rowOff>
    </xdr:from>
    <xdr:to>
      <xdr:col>3</xdr:col>
      <xdr:colOff>876300</xdr:colOff>
      <xdr:row>5</xdr:row>
      <xdr:rowOff>899160</xdr:rowOff>
    </xdr:to>
    <xdr:cxnSp macro="">
      <xdr:nvCxnSpPr>
        <xdr:cNvPr id="31" name="Straight Arrow Connector 30"/>
        <xdr:cNvCxnSpPr>
          <a:stCxn id="27" idx="6"/>
        </xdr:cNvCxnSpPr>
      </xdr:nvCxnSpPr>
      <xdr:spPr>
        <a:xfrm>
          <a:off x="1043940" y="3322320"/>
          <a:ext cx="8153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213360</xdr:rowOff>
    </xdr:from>
    <xdr:to>
      <xdr:col>3</xdr:col>
      <xdr:colOff>1722120</xdr:colOff>
      <xdr:row>5</xdr:row>
      <xdr:rowOff>685800</xdr:rowOff>
    </xdr:to>
    <xdr:cxnSp macro="">
      <xdr:nvCxnSpPr>
        <xdr:cNvPr id="42" name="Elbow Connector 41"/>
        <xdr:cNvCxnSpPr>
          <a:stCxn id="25" idx="6"/>
        </xdr:cNvCxnSpPr>
      </xdr:nvCxnSpPr>
      <xdr:spPr>
        <a:xfrm>
          <a:off x="1043940" y="2636520"/>
          <a:ext cx="1661160" cy="472440"/>
        </a:xfrm>
        <a:prstGeom prst="bentConnector3">
          <a:avLst>
            <a:gd name="adj1" fmla="val 9954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807720</xdr:rowOff>
    </xdr:from>
    <xdr:to>
      <xdr:col>4</xdr:col>
      <xdr:colOff>106680</xdr:colOff>
      <xdr:row>6</xdr:row>
      <xdr:rowOff>649606</xdr:rowOff>
    </xdr:to>
    <xdr:cxnSp macro="">
      <xdr:nvCxnSpPr>
        <xdr:cNvPr id="46" name="Elbow Connector 45"/>
        <xdr:cNvCxnSpPr>
          <a:stCxn id="28" idx="6"/>
        </xdr:cNvCxnSpPr>
      </xdr:nvCxnSpPr>
      <xdr:spPr>
        <a:xfrm flipV="1">
          <a:off x="1043940" y="3230880"/>
          <a:ext cx="2019300" cy="756286"/>
        </a:xfrm>
        <a:prstGeom prst="bentConnector3">
          <a:avLst>
            <a:gd name="adj1" fmla="val 10094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38100</xdr:rowOff>
    </xdr:from>
    <xdr:to>
      <xdr:col>7</xdr:col>
      <xdr:colOff>60960</xdr:colOff>
      <xdr:row>7</xdr:row>
      <xdr:rowOff>404281</xdr:rowOff>
    </xdr:to>
    <xdr:cxnSp macro="">
      <xdr:nvCxnSpPr>
        <xdr:cNvPr id="50" name="Elbow Connector 49"/>
        <xdr:cNvCxnSpPr>
          <a:stCxn id="29" idx="6"/>
        </xdr:cNvCxnSpPr>
      </xdr:nvCxnSpPr>
      <xdr:spPr>
        <a:xfrm flipV="1">
          <a:off x="1043940" y="3375660"/>
          <a:ext cx="3863340" cy="1280581"/>
        </a:xfrm>
        <a:prstGeom prst="bentConnector3">
          <a:avLst>
            <a:gd name="adj1" fmla="val 10049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29</xdr:row>
      <xdr:rowOff>335280</xdr:rowOff>
    </xdr:from>
    <xdr:to>
      <xdr:col>3</xdr:col>
      <xdr:colOff>60960</xdr:colOff>
      <xdr:row>29</xdr:row>
      <xdr:rowOff>792480</xdr:rowOff>
    </xdr:to>
    <xdr:sp macro="" textlink="">
      <xdr:nvSpPr>
        <xdr:cNvPr id="54" name="Oval 53"/>
        <xdr:cNvSpPr/>
      </xdr:nvSpPr>
      <xdr:spPr>
        <a:xfrm>
          <a:off x="586740" y="126111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28</xdr:row>
      <xdr:rowOff>579120</xdr:rowOff>
    </xdr:from>
    <xdr:to>
      <xdr:col>3</xdr:col>
      <xdr:colOff>60960</xdr:colOff>
      <xdr:row>29</xdr:row>
      <xdr:rowOff>121920</xdr:rowOff>
    </xdr:to>
    <xdr:sp macro="" textlink="">
      <xdr:nvSpPr>
        <xdr:cNvPr id="55" name="Oval 54"/>
        <xdr:cNvSpPr/>
      </xdr:nvSpPr>
      <xdr:spPr>
        <a:xfrm>
          <a:off x="586740" y="119405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30</xdr:row>
      <xdr:rowOff>106680</xdr:rowOff>
    </xdr:from>
    <xdr:to>
      <xdr:col>3</xdr:col>
      <xdr:colOff>60960</xdr:colOff>
      <xdr:row>30</xdr:row>
      <xdr:rowOff>563880</xdr:rowOff>
    </xdr:to>
    <xdr:sp macro="" textlink="">
      <xdr:nvSpPr>
        <xdr:cNvPr id="56" name="Oval 55"/>
        <xdr:cNvSpPr/>
      </xdr:nvSpPr>
      <xdr:spPr>
        <a:xfrm>
          <a:off x="586740" y="132969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29</xdr:row>
      <xdr:rowOff>563880</xdr:rowOff>
    </xdr:from>
    <xdr:to>
      <xdr:col>3</xdr:col>
      <xdr:colOff>998220</xdr:colOff>
      <xdr:row>29</xdr:row>
      <xdr:rowOff>563880</xdr:rowOff>
    </xdr:to>
    <xdr:cxnSp macro="">
      <xdr:nvCxnSpPr>
        <xdr:cNvPr id="57" name="Straight Arrow Connector 56"/>
        <xdr:cNvCxnSpPr>
          <a:stCxn id="54" idx="6"/>
        </xdr:cNvCxnSpPr>
      </xdr:nvCxnSpPr>
      <xdr:spPr>
        <a:xfrm>
          <a:off x="1043940" y="12839700"/>
          <a:ext cx="93726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944880</xdr:colOff>
      <xdr:row>29</xdr:row>
      <xdr:rowOff>335280</xdr:rowOff>
    </xdr:from>
    <xdr:to>
      <xdr:col>8</xdr:col>
      <xdr:colOff>304800</xdr:colOff>
      <xdr:row>29</xdr:row>
      <xdr:rowOff>792480</xdr:rowOff>
    </xdr:to>
    <xdr:sp macro="" textlink="">
      <xdr:nvSpPr>
        <xdr:cNvPr id="58" name="Oval 57"/>
        <xdr:cNvSpPr/>
      </xdr:nvSpPr>
      <xdr:spPr>
        <a:xfrm>
          <a:off x="5791200" y="126111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7</xdr:col>
      <xdr:colOff>944880</xdr:colOff>
      <xdr:row>28</xdr:row>
      <xdr:rowOff>579120</xdr:rowOff>
    </xdr:from>
    <xdr:to>
      <xdr:col>8</xdr:col>
      <xdr:colOff>304800</xdr:colOff>
      <xdr:row>29</xdr:row>
      <xdr:rowOff>121920</xdr:rowOff>
    </xdr:to>
    <xdr:sp macro="" textlink="">
      <xdr:nvSpPr>
        <xdr:cNvPr id="59" name="Oval 58"/>
        <xdr:cNvSpPr/>
      </xdr:nvSpPr>
      <xdr:spPr>
        <a:xfrm>
          <a:off x="5791200" y="119405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7</xdr:col>
      <xdr:colOff>944880</xdr:colOff>
      <xdr:row>30</xdr:row>
      <xdr:rowOff>106680</xdr:rowOff>
    </xdr:from>
    <xdr:to>
      <xdr:col>8</xdr:col>
      <xdr:colOff>304800</xdr:colOff>
      <xdr:row>30</xdr:row>
      <xdr:rowOff>563880</xdr:rowOff>
    </xdr:to>
    <xdr:sp macro="" textlink="">
      <xdr:nvSpPr>
        <xdr:cNvPr id="60" name="Oval 59"/>
        <xdr:cNvSpPr/>
      </xdr:nvSpPr>
      <xdr:spPr>
        <a:xfrm>
          <a:off x="5791200" y="132969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3</xdr:col>
      <xdr:colOff>60960</xdr:colOff>
      <xdr:row>28</xdr:row>
      <xdr:rowOff>807720</xdr:rowOff>
    </xdr:from>
    <xdr:to>
      <xdr:col>5</xdr:col>
      <xdr:colOff>228600</xdr:colOff>
      <xdr:row>29</xdr:row>
      <xdr:rowOff>350520</xdr:rowOff>
    </xdr:to>
    <xdr:cxnSp macro="">
      <xdr:nvCxnSpPr>
        <xdr:cNvPr id="61" name="Elbow Connector 60"/>
        <xdr:cNvCxnSpPr>
          <a:stCxn id="55" idx="6"/>
        </xdr:cNvCxnSpPr>
      </xdr:nvCxnSpPr>
      <xdr:spPr>
        <a:xfrm>
          <a:off x="1043940" y="12169140"/>
          <a:ext cx="2537460" cy="457200"/>
        </a:xfrm>
        <a:prstGeom prst="bentConnector3">
          <a:avLst>
            <a:gd name="adj1" fmla="val 9955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327660</xdr:colOff>
      <xdr:row>28</xdr:row>
      <xdr:rowOff>807720</xdr:rowOff>
    </xdr:from>
    <xdr:to>
      <xdr:col>7</xdr:col>
      <xdr:colOff>944880</xdr:colOff>
      <xdr:row>29</xdr:row>
      <xdr:rowOff>388620</xdr:rowOff>
    </xdr:to>
    <xdr:cxnSp macro="">
      <xdr:nvCxnSpPr>
        <xdr:cNvPr id="66" name="Elbow Connector 65"/>
        <xdr:cNvCxnSpPr>
          <a:stCxn id="59" idx="2"/>
        </xdr:cNvCxnSpPr>
      </xdr:nvCxnSpPr>
      <xdr:spPr>
        <a:xfrm rot="10800000" flipV="1">
          <a:off x="4076700" y="12169140"/>
          <a:ext cx="1714500" cy="495300"/>
        </a:xfrm>
        <a:prstGeom prst="bentConnector3">
          <a:avLst>
            <a:gd name="adj1" fmla="val 100222"/>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29</xdr:row>
      <xdr:rowOff>662940</xdr:rowOff>
    </xdr:from>
    <xdr:to>
      <xdr:col>3</xdr:col>
      <xdr:colOff>1394460</xdr:colOff>
      <xdr:row>30</xdr:row>
      <xdr:rowOff>335280</xdr:rowOff>
    </xdr:to>
    <xdr:cxnSp macro="">
      <xdr:nvCxnSpPr>
        <xdr:cNvPr id="70" name="Elbow Connector 69"/>
        <xdr:cNvCxnSpPr>
          <a:stCxn id="56" idx="6"/>
        </xdr:cNvCxnSpPr>
      </xdr:nvCxnSpPr>
      <xdr:spPr>
        <a:xfrm flipV="1">
          <a:off x="1043940" y="12938760"/>
          <a:ext cx="1333500" cy="586740"/>
        </a:xfrm>
        <a:prstGeom prst="bentConnector3">
          <a:avLst>
            <a:gd name="adj1" fmla="val 10085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91440</xdr:colOff>
      <xdr:row>29</xdr:row>
      <xdr:rowOff>563880</xdr:rowOff>
    </xdr:from>
    <xdr:to>
      <xdr:col>7</xdr:col>
      <xdr:colOff>922020</xdr:colOff>
      <xdr:row>30</xdr:row>
      <xdr:rowOff>114300</xdr:rowOff>
    </xdr:to>
    <xdr:cxnSp macro="">
      <xdr:nvCxnSpPr>
        <xdr:cNvPr id="75" name="Elbow Connector 74"/>
        <xdr:cNvCxnSpPr/>
      </xdr:nvCxnSpPr>
      <xdr:spPr>
        <a:xfrm rot="10800000" flipV="1">
          <a:off x="4937760" y="12839700"/>
          <a:ext cx="830580" cy="464820"/>
        </a:xfrm>
        <a:prstGeom prst="bentConnector3">
          <a:avLst>
            <a:gd name="adj1" fmla="val 9954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274320</xdr:colOff>
      <xdr:row>30</xdr:row>
      <xdr:rowOff>15240</xdr:rowOff>
    </xdr:from>
    <xdr:to>
      <xdr:col>7</xdr:col>
      <xdr:colOff>944880</xdr:colOff>
      <xdr:row>30</xdr:row>
      <xdr:rowOff>335280</xdr:rowOff>
    </xdr:to>
    <xdr:cxnSp macro="">
      <xdr:nvCxnSpPr>
        <xdr:cNvPr id="78" name="Elbow Connector 77"/>
        <xdr:cNvCxnSpPr>
          <a:stCxn id="60" idx="2"/>
        </xdr:cNvCxnSpPr>
      </xdr:nvCxnSpPr>
      <xdr:spPr>
        <a:xfrm rot="10800000">
          <a:off x="3230880" y="13205460"/>
          <a:ext cx="2560320" cy="320040"/>
        </a:xfrm>
        <a:prstGeom prst="bentConnector3">
          <a:avLst>
            <a:gd name="adj1" fmla="val 99702"/>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36380"/>
          <a:ext cx="1826623" cy="499872"/>
        </a:xfrm>
        <a:prstGeom prst="rect">
          <a:avLst/>
        </a:prstGeom>
      </xdr:spPr>
    </xdr:pic>
    <xdr:clientData/>
  </xdr:twoCellAnchor>
  <xdr:oneCellAnchor>
    <xdr:from>
      <xdr:col>2</xdr:col>
      <xdr:colOff>0</xdr:colOff>
      <xdr:row>50</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58560"/>
          <a:ext cx="1827519" cy="508837"/>
        </a:xfrm>
        <a:prstGeom prst="rect">
          <a:avLst/>
        </a:prstGeom>
      </xdr:spPr>
    </xdr:pic>
    <xdr:clientData/>
  </xdr:oneCellAnchor>
  <xdr:twoCellAnchor>
    <xdr:from>
      <xdr:col>3</xdr:col>
      <xdr:colOff>0</xdr:colOff>
      <xdr:row>4</xdr:row>
      <xdr:rowOff>121920</xdr:rowOff>
    </xdr:from>
    <xdr:to>
      <xdr:col>7</xdr:col>
      <xdr:colOff>583524</xdr:colOff>
      <xdr:row>7</xdr:row>
      <xdr:rowOff>762000</xdr:rowOff>
    </xdr:to>
    <xdr:sp macro="" textlink="">
      <xdr:nvSpPr>
        <xdr:cNvPr id="6" name="Rounded Rectangle 5"/>
        <xdr:cNvSpPr>
          <a:spLocks noChangeAspect="1"/>
        </xdr:cNvSpPr>
      </xdr:nvSpPr>
      <xdr:spPr>
        <a:xfrm>
          <a:off x="982980" y="1630680"/>
          <a:ext cx="4446864" cy="3383280"/>
        </a:xfrm>
        <a:prstGeom prst="roundRect">
          <a:avLst/>
        </a:prstGeom>
        <a:blipFill>
          <a:blip xmlns:r="http://schemas.openxmlformats.org/officeDocument/2006/relationships" r:embed="rId3"/>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0</xdr:colOff>
      <xdr:row>31</xdr:row>
      <xdr:rowOff>121920</xdr:rowOff>
    </xdr:from>
    <xdr:to>
      <xdr:col>7</xdr:col>
      <xdr:colOff>496463</xdr:colOff>
      <xdr:row>34</xdr:row>
      <xdr:rowOff>762000</xdr:rowOff>
    </xdr:to>
    <xdr:sp macro="" textlink="">
      <xdr:nvSpPr>
        <xdr:cNvPr id="10" name="Rounded Rectangle 9"/>
        <xdr:cNvSpPr>
          <a:spLocks noChangeAspect="1"/>
        </xdr:cNvSpPr>
      </xdr:nvSpPr>
      <xdr:spPr>
        <a:xfrm>
          <a:off x="982980" y="11551920"/>
          <a:ext cx="4359803" cy="3383280"/>
        </a:xfrm>
        <a:prstGeom prst="roundRect">
          <a:avLst/>
        </a:prstGeom>
        <a:blipFill>
          <a:blip xmlns:r="http://schemas.openxmlformats.org/officeDocument/2006/relationships" r:embed="rId4"/>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7</xdr:col>
      <xdr:colOff>1068372</xdr:colOff>
      <xdr:row>31</xdr:row>
      <xdr:rowOff>563880</xdr:rowOff>
    </xdr:from>
    <xdr:to>
      <xdr:col>10</xdr:col>
      <xdr:colOff>131579</xdr:colOff>
      <xdr:row>34</xdr:row>
      <xdr:rowOff>563880</xdr:rowOff>
    </xdr:to>
    <xdr:pic>
      <xdr:nvPicPr>
        <xdr:cNvPr id="11" name="Picture 10"/>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5914692" y="11993880"/>
          <a:ext cx="3665687" cy="2743200"/>
        </a:xfrm>
        <a:prstGeom prst="rect">
          <a:avLst/>
        </a:prstGeom>
      </xdr:spPr>
    </xdr:pic>
    <xdr:clientData/>
  </xdr:twoCellAnchor>
  <xdr:twoCellAnchor>
    <xdr:from>
      <xdr:col>7</xdr:col>
      <xdr:colOff>640080</xdr:colOff>
      <xdr:row>31</xdr:row>
      <xdr:rowOff>121920</xdr:rowOff>
    </xdr:from>
    <xdr:to>
      <xdr:col>10</xdr:col>
      <xdr:colOff>559871</xdr:colOff>
      <xdr:row>34</xdr:row>
      <xdr:rowOff>762000</xdr:rowOff>
    </xdr:to>
    <xdr:sp macro="" textlink="">
      <xdr:nvSpPr>
        <xdr:cNvPr id="13" name="Rounded Rectangle 12"/>
        <xdr:cNvSpPr>
          <a:spLocks noChangeAspect="1"/>
        </xdr:cNvSpPr>
      </xdr:nvSpPr>
      <xdr:spPr>
        <a:xfrm>
          <a:off x="5486400" y="11551920"/>
          <a:ext cx="4522271"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editAs="oneCell">
    <xdr:from>
      <xdr:col>8</xdr:col>
      <xdr:colOff>80800</xdr:colOff>
      <xdr:row>4</xdr:row>
      <xdr:rowOff>563880</xdr:rowOff>
    </xdr:from>
    <xdr:to>
      <xdr:col>10</xdr:col>
      <xdr:colOff>370735</xdr:colOff>
      <xdr:row>7</xdr:row>
      <xdr:rowOff>563880</xdr:rowOff>
    </xdr:to>
    <xdr:pic>
      <xdr:nvPicPr>
        <xdr:cNvPr id="14" name="Picture 13"/>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6024400" y="2072640"/>
          <a:ext cx="3795135" cy="2743200"/>
        </a:xfrm>
        <a:prstGeom prst="rect">
          <a:avLst/>
        </a:prstGeom>
      </xdr:spPr>
    </xdr:pic>
    <xdr:clientData/>
  </xdr:twoCellAnchor>
  <xdr:twoCellAnchor>
    <xdr:from>
      <xdr:col>7</xdr:col>
      <xdr:colOff>731520</xdr:colOff>
      <xdr:row>4</xdr:row>
      <xdr:rowOff>121920</xdr:rowOff>
    </xdr:from>
    <xdr:to>
      <xdr:col>10</xdr:col>
      <xdr:colOff>817294</xdr:colOff>
      <xdr:row>7</xdr:row>
      <xdr:rowOff>762000</xdr:rowOff>
    </xdr:to>
    <xdr:sp macro="" textlink="">
      <xdr:nvSpPr>
        <xdr:cNvPr id="15" name="Rounded Rectangle 14"/>
        <xdr:cNvSpPr>
          <a:spLocks noChangeAspect="1"/>
        </xdr:cNvSpPr>
      </xdr:nvSpPr>
      <xdr:spPr>
        <a:xfrm>
          <a:off x="5577840" y="1630680"/>
          <a:ext cx="4688254" cy="3383280"/>
        </a:xfrm>
        <a:prstGeom prst="roundRect">
          <a:avLst/>
        </a:prstGeom>
        <a:noFill/>
        <a:ln w="19050">
          <a:solidFill>
            <a:srgbClr val="03BA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03BADF"/>
              </a:solidFill>
              <a:latin typeface="Tw Cen MT" panose="020B0602020104020603" pitchFamily="34" charset="0"/>
            </a:rPr>
            <a:t>PLAN VIEW</a:t>
          </a:r>
        </a:p>
      </xdr:txBody>
    </xdr:sp>
    <xdr:clientData/>
  </xdr:twoCellAnchor>
  <xdr:twoCellAnchor>
    <xdr:from>
      <xdr:col>2</xdr:col>
      <xdr:colOff>0</xdr:colOff>
      <xdr:row>5</xdr:row>
      <xdr:rowOff>670560</xdr:rowOff>
    </xdr:from>
    <xdr:to>
      <xdr:col>3</xdr:col>
      <xdr:colOff>60960</xdr:colOff>
      <xdr:row>6</xdr:row>
      <xdr:rowOff>213360</xdr:rowOff>
    </xdr:to>
    <xdr:sp macro="" textlink="">
      <xdr:nvSpPr>
        <xdr:cNvPr id="12" name="Oval 11"/>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5</xdr:row>
      <xdr:rowOff>0</xdr:rowOff>
    </xdr:from>
    <xdr:to>
      <xdr:col>3</xdr:col>
      <xdr:colOff>60960</xdr:colOff>
      <xdr:row>5</xdr:row>
      <xdr:rowOff>457200</xdr:rowOff>
    </xdr:to>
    <xdr:sp macro="" textlink="">
      <xdr:nvSpPr>
        <xdr:cNvPr id="16" name="Oval 15"/>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5</xdr:row>
      <xdr:rowOff>228600</xdr:rowOff>
    </xdr:from>
    <xdr:to>
      <xdr:col>3</xdr:col>
      <xdr:colOff>1691640</xdr:colOff>
      <xdr:row>5</xdr:row>
      <xdr:rowOff>678180</xdr:rowOff>
    </xdr:to>
    <xdr:cxnSp macro="">
      <xdr:nvCxnSpPr>
        <xdr:cNvPr id="17" name="Elbow Connector 16"/>
        <xdr:cNvCxnSpPr>
          <a:stCxn id="16" idx="6"/>
        </xdr:cNvCxnSpPr>
      </xdr:nvCxnSpPr>
      <xdr:spPr>
        <a:xfrm>
          <a:off x="1043940" y="2651760"/>
          <a:ext cx="1630680" cy="449580"/>
        </a:xfrm>
        <a:prstGeom prst="bentConnector3">
          <a:avLst>
            <a:gd name="adj1" fmla="val 9906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893424</xdr:rowOff>
    </xdr:from>
    <xdr:to>
      <xdr:col>3</xdr:col>
      <xdr:colOff>1150620</xdr:colOff>
      <xdr:row>5</xdr:row>
      <xdr:rowOff>899160</xdr:rowOff>
    </xdr:to>
    <xdr:cxnSp macro="">
      <xdr:nvCxnSpPr>
        <xdr:cNvPr id="18" name="Straight Connector 17"/>
        <xdr:cNvCxnSpPr>
          <a:stCxn id="12" idx="6"/>
        </xdr:cNvCxnSpPr>
      </xdr:nvCxnSpPr>
      <xdr:spPr>
        <a:xfrm flipV="1">
          <a:off x="1043940" y="3316584"/>
          <a:ext cx="1089660" cy="5736"/>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32</xdr:row>
      <xdr:rowOff>670560</xdr:rowOff>
    </xdr:from>
    <xdr:to>
      <xdr:col>3</xdr:col>
      <xdr:colOff>60960</xdr:colOff>
      <xdr:row>33</xdr:row>
      <xdr:rowOff>213360</xdr:rowOff>
    </xdr:to>
    <xdr:sp macro="" textlink="">
      <xdr:nvSpPr>
        <xdr:cNvPr id="19" name="Oval 18"/>
        <xdr:cNvSpPr/>
      </xdr:nvSpPr>
      <xdr:spPr>
        <a:xfrm>
          <a:off x="586740" y="13014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32</xdr:row>
      <xdr:rowOff>0</xdr:rowOff>
    </xdr:from>
    <xdr:to>
      <xdr:col>3</xdr:col>
      <xdr:colOff>60960</xdr:colOff>
      <xdr:row>32</xdr:row>
      <xdr:rowOff>457200</xdr:rowOff>
    </xdr:to>
    <xdr:sp macro="" textlink="">
      <xdr:nvSpPr>
        <xdr:cNvPr id="20" name="Oval 19"/>
        <xdr:cNvSpPr/>
      </xdr:nvSpPr>
      <xdr:spPr>
        <a:xfrm>
          <a:off x="586740" y="123444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33</xdr:row>
      <xdr:rowOff>441960</xdr:rowOff>
    </xdr:from>
    <xdr:to>
      <xdr:col>3</xdr:col>
      <xdr:colOff>60960</xdr:colOff>
      <xdr:row>33</xdr:row>
      <xdr:rowOff>899160</xdr:rowOff>
    </xdr:to>
    <xdr:sp macro="" textlink="">
      <xdr:nvSpPr>
        <xdr:cNvPr id="21" name="Oval 20"/>
        <xdr:cNvSpPr/>
      </xdr:nvSpPr>
      <xdr:spPr>
        <a:xfrm>
          <a:off x="586740" y="137007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76200</xdr:colOff>
      <xdr:row>33</xdr:row>
      <xdr:rowOff>228600</xdr:rowOff>
    </xdr:from>
    <xdr:to>
      <xdr:col>6</xdr:col>
      <xdr:colOff>647700</xdr:colOff>
      <xdr:row>33</xdr:row>
      <xdr:rowOff>685800</xdr:rowOff>
    </xdr:to>
    <xdr:cxnSp macro="">
      <xdr:nvCxnSpPr>
        <xdr:cNvPr id="24" name="Elbow Connector 23"/>
        <xdr:cNvCxnSpPr/>
      </xdr:nvCxnSpPr>
      <xdr:spPr>
        <a:xfrm flipV="1">
          <a:off x="1059180" y="13487400"/>
          <a:ext cx="3337560" cy="45720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32</xdr:row>
      <xdr:rowOff>228600</xdr:rowOff>
    </xdr:from>
    <xdr:to>
      <xdr:col>3</xdr:col>
      <xdr:colOff>1866900</xdr:colOff>
      <xdr:row>32</xdr:row>
      <xdr:rowOff>815340</xdr:rowOff>
    </xdr:to>
    <xdr:cxnSp macro="">
      <xdr:nvCxnSpPr>
        <xdr:cNvPr id="27" name="Elbow Connector 26"/>
        <xdr:cNvCxnSpPr>
          <a:stCxn id="20" idx="6"/>
        </xdr:cNvCxnSpPr>
      </xdr:nvCxnSpPr>
      <xdr:spPr>
        <a:xfrm>
          <a:off x="1043940" y="12573000"/>
          <a:ext cx="1805940" cy="586740"/>
        </a:xfrm>
        <a:prstGeom prst="bentConnector3">
          <a:avLst>
            <a:gd name="adj1" fmla="val 9936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32</xdr:row>
      <xdr:rowOff>899160</xdr:rowOff>
    </xdr:from>
    <xdr:to>
      <xdr:col>3</xdr:col>
      <xdr:colOff>1470660</xdr:colOff>
      <xdr:row>33</xdr:row>
      <xdr:rowOff>259080</xdr:rowOff>
    </xdr:to>
    <xdr:cxnSp macro="">
      <xdr:nvCxnSpPr>
        <xdr:cNvPr id="31" name="Elbow Connector 30"/>
        <xdr:cNvCxnSpPr>
          <a:stCxn id="19" idx="6"/>
        </xdr:cNvCxnSpPr>
      </xdr:nvCxnSpPr>
      <xdr:spPr>
        <a:xfrm>
          <a:off x="1043940" y="13243560"/>
          <a:ext cx="1409700" cy="274320"/>
        </a:xfrm>
        <a:prstGeom prst="bentConnector3">
          <a:avLst>
            <a:gd name="adj1" fmla="val 3648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3</xdr:col>
      <xdr:colOff>1415143</xdr:colOff>
      <xdr:row>22</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44000"/>
          <a:ext cx="1826623" cy="499872"/>
        </a:xfrm>
        <a:prstGeom prst="rect">
          <a:avLst/>
        </a:prstGeom>
      </xdr:spPr>
    </xdr:pic>
    <xdr:clientData/>
  </xdr:twoCellAnchor>
  <xdr:twoCellAnchor>
    <xdr:from>
      <xdr:col>3</xdr:col>
      <xdr:colOff>0</xdr:colOff>
      <xdr:row>4</xdr:row>
      <xdr:rowOff>121920</xdr:rowOff>
    </xdr:from>
    <xdr:to>
      <xdr:col>8</xdr:col>
      <xdr:colOff>1088681</xdr:colOff>
      <xdr:row>7</xdr:row>
      <xdr:rowOff>762000</xdr:rowOff>
    </xdr:to>
    <xdr:sp macro="" textlink="">
      <xdr:nvSpPr>
        <xdr:cNvPr id="5" name="Rounded Rectangle 4"/>
        <xdr:cNvSpPr>
          <a:spLocks noChangeAspect="1"/>
        </xdr:cNvSpPr>
      </xdr:nvSpPr>
      <xdr:spPr>
        <a:xfrm>
          <a:off x="982980" y="1630680"/>
          <a:ext cx="6049301" cy="3383280"/>
        </a:xfrm>
        <a:prstGeom prst="roundRect">
          <a:avLst/>
        </a:prstGeom>
        <a:blipFill>
          <a:blip xmlns:r="http://schemas.openxmlformats.org/officeDocument/2006/relationships" r:embed="rId2"/>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9</xdr:col>
      <xdr:colOff>858109</xdr:colOff>
      <xdr:row>4</xdr:row>
      <xdr:rowOff>609600</xdr:rowOff>
    </xdr:from>
    <xdr:to>
      <xdr:col>14</xdr:col>
      <xdr:colOff>1069163</xdr:colOff>
      <xdr:row>7</xdr:row>
      <xdr:rowOff>335280</xdr:rowOff>
    </xdr:to>
    <xdr:pic>
      <xdr:nvPicPr>
        <xdr:cNvPr id="6" name="Picture 5"/>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7898989" y="2118360"/>
          <a:ext cx="5423134" cy="2468880"/>
        </a:xfrm>
        <a:prstGeom prst="rect">
          <a:avLst/>
        </a:prstGeom>
      </xdr:spPr>
    </xdr:pic>
    <xdr:clientData/>
  </xdr:twoCellAnchor>
  <xdr:twoCellAnchor>
    <xdr:from>
      <xdr:col>9</xdr:col>
      <xdr:colOff>487680</xdr:colOff>
      <xdr:row>4</xdr:row>
      <xdr:rowOff>121920</xdr:rowOff>
    </xdr:from>
    <xdr:to>
      <xdr:col>14</xdr:col>
      <xdr:colOff>1584960</xdr:colOff>
      <xdr:row>7</xdr:row>
      <xdr:rowOff>762000</xdr:rowOff>
    </xdr:to>
    <xdr:sp macro="" textlink="">
      <xdr:nvSpPr>
        <xdr:cNvPr id="8" name="Rounded Rectangle 7"/>
        <xdr:cNvSpPr>
          <a:spLocks/>
        </xdr:cNvSpPr>
      </xdr:nvSpPr>
      <xdr:spPr>
        <a:xfrm>
          <a:off x="7528560" y="1630680"/>
          <a:ext cx="6309360" cy="3383280"/>
        </a:xfrm>
        <a:prstGeom prst="roundRect">
          <a:avLst/>
        </a:prstGeom>
        <a:noFill/>
        <a:ln w="190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2</xdr:col>
      <xdr:colOff>0</xdr:colOff>
      <xdr:row>5</xdr:row>
      <xdr:rowOff>335280</xdr:rowOff>
    </xdr:from>
    <xdr:to>
      <xdr:col>3</xdr:col>
      <xdr:colOff>60960</xdr:colOff>
      <xdr:row>5</xdr:row>
      <xdr:rowOff>792480</xdr:rowOff>
    </xdr:to>
    <xdr:sp macro="" textlink="">
      <xdr:nvSpPr>
        <xdr:cNvPr id="7" name="Oval 6"/>
        <xdr:cNvSpPr/>
      </xdr:nvSpPr>
      <xdr:spPr>
        <a:xfrm>
          <a:off x="58674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579120</xdr:rowOff>
    </xdr:from>
    <xdr:to>
      <xdr:col>3</xdr:col>
      <xdr:colOff>60960</xdr:colOff>
      <xdr:row>5</xdr:row>
      <xdr:rowOff>121920</xdr:rowOff>
    </xdr:to>
    <xdr:sp macro="" textlink="">
      <xdr:nvSpPr>
        <xdr:cNvPr id="9" name="Oval 8"/>
        <xdr:cNvSpPr/>
      </xdr:nvSpPr>
      <xdr:spPr>
        <a:xfrm>
          <a:off x="58674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106680</xdr:rowOff>
    </xdr:from>
    <xdr:to>
      <xdr:col>3</xdr:col>
      <xdr:colOff>60960</xdr:colOff>
      <xdr:row>6</xdr:row>
      <xdr:rowOff>563880</xdr:rowOff>
    </xdr:to>
    <xdr:sp macro="" textlink="">
      <xdr:nvSpPr>
        <xdr:cNvPr id="10" name="Oval 9"/>
        <xdr:cNvSpPr/>
      </xdr:nvSpPr>
      <xdr:spPr>
        <a:xfrm>
          <a:off x="58674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563880</xdr:rowOff>
    </xdr:from>
    <xdr:to>
      <xdr:col>3</xdr:col>
      <xdr:colOff>1691640</xdr:colOff>
      <xdr:row>5</xdr:row>
      <xdr:rowOff>563880</xdr:rowOff>
    </xdr:to>
    <xdr:cxnSp macro="">
      <xdr:nvCxnSpPr>
        <xdr:cNvPr id="11" name="Straight Arrow Connector 10"/>
        <xdr:cNvCxnSpPr>
          <a:stCxn id="7" idx="6"/>
        </xdr:cNvCxnSpPr>
      </xdr:nvCxnSpPr>
      <xdr:spPr>
        <a:xfrm>
          <a:off x="1043940" y="2987040"/>
          <a:ext cx="163068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982980</xdr:colOff>
      <xdr:row>5</xdr:row>
      <xdr:rowOff>335280</xdr:rowOff>
    </xdr:from>
    <xdr:to>
      <xdr:col>9</xdr:col>
      <xdr:colOff>342900</xdr:colOff>
      <xdr:row>5</xdr:row>
      <xdr:rowOff>792480</xdr:rowOff>
    </xdr:to>
    <xdr:sp macro="" textlink="">
      <xdr:nvSpPr>
        <xdr:cNvPr id="12" name="Oval 11"/>
        <xdr:cNvSpPr/>
      </xdr:nvSpPr>
      <xdr:spPr>
        <a:xfrm>
          <a:off x="692658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8</xdr:col>
      <xdr:colOff>982980</xdr:colOff>
      <xdr:row>4</xdr:row>
      <xdr:rowOff>579120</xdr:rowOff>
    </xdr:from>
    <xdr:to>
      <xdr:col>9</xdr:col>
      <xdr:colOff>342900</xdr:colOff>
      <xdr:row>5</xdr:row>
      <xdr:rowOff>121920</xdr:rowOff>
    </xdr:to>
    <xdr:sp macro="" textlink="">
      <xdr:nvSpPr>
        <xdr:cNvPr id="13" name="Oval 12"/>
        <xdr:cNvSpPr/>
      </xdr:nvSpPr>
      <xdr:spPr>
        <a:xfrm>
          <a:off x="692658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8</xdr:col>
      <xdr:colOff>982980</xdr:colOff>
      <xdr:row>6</xdr:row>
      <xdr:rowOff>106680</xdr:rowOff>
    </xdr:from>
    <xdr:to>
      <xdr:col>9</xdr:col>
      <xdr:colOff>342900</xdr:colOff>
      <xdr:row>6</xdr:row>
      <xdr:rowOff>563880</xdr:rowOff>
    </xdr:to>
    <xdr:sp macro="" textlink="">
      <xdr:nvSpPr>
        <xdr:cNvPr id="14" name="Oval 13"/>
        <xdr:cNvSpPr/>
      </xdr:nvSpPr>
      <xdr:spPr>
        <a:xfrm>
          <a:off x="692658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3</xdr:col>
      <xdr:colOff>60960</xdr:colOff>
      <xdr:row>4</xdr:row>
      <xdr:rowOff>807720</xdr:rowOff>
    </xdr:from>
    <xdr:to>
      <xdr:col>6</xdr:col>
      <xdr:colOff>609600</xdr:colOff>
      <xdr:row>5</xdr:row>
      <xdr:rowOff>114300</xdr:rowOff>
    </xdr:to>
    <xdr:cxnSp macro="">
      <xdr:nvCxnSpPr>
        <xdr:cNvPr id="15" name="Elbow Connector 14"/>
        <xdr:cNvCxnSpPr>
          <a:stCxn id="9" idx="6"/>
        </xdr:cNvCxnSpPr>
      </xdr:nvCxnSpPr>
      <xdr:spPr>
        <a:xfrm>
          <a:off x="1043940" y="2316480"/>
          <a:ext cx="3314700" cy="220980"/>
        </a:xfrm>
        <a:prstGeom prst="bentConnector3">
          <a:avLst>
            <a:gd name="adj1" fmla="val 9988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617220</xdr:colOff>
      <xdr:row>6</xdr:row>
      <xdr:rowOff>15240</xdr:rowOff>
    </xdr:from>
    <xdr:to>
      <xdr:col>8</xdr:col>
      <xdr:colOff>982980</xdr:colOff>
      <xdr:row>6</xdr:row>
      <xdr:rowOff>335280</xdr:rowOff>
    </xdr:to>
    <xdr:cxnSp macro="">
      <xdr:nvCxnSpPr>
        <xdr:cNvPr id="19" name="Elbow Connector 18"/>
        <xdr:cNvCxnSpPr>
          <a:stCxn id="14" idx="2"/>
        </xdr:cNvCxnSpPr>
      </xdr:nvCxnSpPr>
      <xdr:spPr>
        <a:xfrm rot="10800000">
          <a:off x="4366260" y="3352800"/>
          <a:ext cx="2560320" cy="320040"/>
        </a:xfrm>
        <a:prstGeom prst="bentConnector3">
          <a:avLst>
            <a:gd name="adj1" fmla="val 99702"/>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335280</xdr:rowOff>
    </xdr:from>
    <xdr:to>
      <xdr:col>3</xdr:col>
      <xdr:colOff>883920</xdr:colOff>
      <xdr:row>6</xdr:row>
      <xdr:rowOff>335280</xdr:rowOff>
    </xdr:to>
    <xdr:cxnSp macro="">
      <xdr:nvCxnSpPr>
        <xdr:cNvPr id="20" name="Straight Arrow Connector 19"/>
        <xdr:cNvCxnSpPr>
          <a:stCxn id="10" idx="6"/>
        </xdr:cNvCxnSpPr>
      </xdr:nvCxnSpPr>
      <xdr:spPr>
        <a:xfrm>
          <a:off x="1043940" y="3672840"/>
          <a:ext cx="82296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617220</xdr:colOff>
      <xdr:row>4</xdr:row>
      <xdr:rowOff>807720</xdr:rowOff>
    </xdr:from>
    <xdr:to>
      <xdr:col>8</xdr:col>
      <xdr:colOff>982980</xdr:colOff>
      <xdr:row>4</xdr:row>
      <xdr:rowOff>807720</xdr:rowOff>
    </xdr:to>
    <xdr:cxnSp macro="">
      <xdr:nvCxnSpPr>
        <xdr:cNvPr id="25" name="Straight Arrow Connector 24"/>
        <xdr:cNvCxnSpPr>
          <a:stCxn id="13" idx="2"/>
        </xdr:cNvCxnSpPr>
      </xdr:nvCxnSpPr>
      <xdr:spPr>
        <a:xfrm flipH="1">
          <a:off x="6560820" y="2316480"/>
          <a:ext cx="36576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815340</xdr:colOff>
      <xdr:row>5</xdr:row>
      <xdr:rowOff>563880</xdr:rowOff>
    </xdr:from>
    <xdr:to>
      <xdr:col>8</xdr:col>
      <xdr:colOff>982980</xdr:colOff>
      <xdr:row>5</xdr:row>
      <xdr:rowOff>563880</xdr:rowOff>
    </xdr:to>
    <xdr:cxnSp macro="">
      <xdr:nvCxnSpPr>
        <xdr:cNvPr id="35" name="Straight Arrow Connector 34"/>
        <xdr:cNvCxnSpPr>
          <a:stCxn id="12" idx="2"/>
        </xdr:cNvCxnSpPr>
      </xdr:nvCxnSpPr>
      <xdr:spPr>
        <a:xfrm flipH="1">
          <a:off x="5661660" y="2987040"/>
          <a:ext cx="126492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22</xdr:row>
      <xdr:rowOff>0</xdr:rowOff>
    </xdr:from>
    <xdr:to>
      <xdr:col>3</xdr:col>
      <xdr:colOff>1415143</xdr:colOff>
      <xdr:row>24</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59240"/>
          <a:ext cx="1826623" cy="499872"/>
        </a:xfrm>
        <a:prstGeom prst="rect">
          <a:avLst/>
        </a:prstGeom>
      </xdr:spPr>
    </xdr:pic>
    <xdr:clientData/>
  </xdr:twoCellAnchor>
  <xdr:twoCellAnchor>
    <xdr:from>
      <xdr:col>3</xdr:col>
      <xdr:colOff>0</xdr:colOff>
      <xdr:row>4</xdr:row>
      <xdr:rowOff>121920</xdr:rowOff>
    </xdr:from>
    <xdr:to>
      <xdr:col>8</xdr:col>
      <xdr:colOff>107688</xdr:colOff>
      <xdr:row>7</xdr:row>
      <xdr:rowOff>762000</xdr:rowOff>
    </xdr:to>
    <xdr:sp macro="" textlink="">
      <xdr:nvSpPr>
        <xdr:cNvPr id="5" name="Rounded Rectangle 4"/>
        <xdr:cNvSpPr>
          <a:spLocks noChangeAspect="1"/>
        </xdr:cNvSpPr>
      </xdr:nvSpPr>
      <xdr:spPr>
        <a:xfrm>
          <a:off x="982980" y="1630680"/>
          <a:ext cx="5068308" cy="3383280"/>
        </a:xfrm>
        <a:prstGeom prst="roundRect">
          <a:avLst/>
        </a:prstGeom>
        <a:blipFill>
          <a:blip xmlns:r="http://schemas.openxmlformats.org/officeDocument/2006/relationships" r:embed="rId2"/>
          <a:srcRect/>
          <a:stretch>
            <a:fillRect t="-5216" r="-3916" b="-3208"/>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8</xdr:col>
      <xdr:colOff>589229</xdr:colOff>
      <xdr:row>4</xdr:row>
      <xdr:rowOff>640080</xdr:rowOff>
    </xdr:from>
    <xdr:to>
      <xdr:col>9</xdr:col>
      <xdr:colOff>2391194</xdr:colOff>
      <xdr:row>7</xdr:row>
      <xdr:rowOff>640080</xdr:rowOff>
    </xdr:to>
    <xdr:pic>
      <xdr:nvPicPr>
        <xdr:cNvPr id="6" name="Picture 5"/>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rot="16200000">
          <a:off x="6610852" y="2070817"/>
          <a:ext cx="2743200" cy="2899245"/>
        </a:xfrm>
        <a:prstGeom prst="rect">
          <a:avLst/>
        </a:prstGeom>
      </xdr:spPr>
    </xdr:pic>
    <xdr:clientData/>
  </xdr:twoCellAnchor>
  <xdr:twoCellAnchor>
    <xdr:from>
      <xdr:col>8</xdr:col>
      <xdr:colOff>251460</xdr:colOff>
      <xdr:row>4</xdr:row>
      <xdr:rowOff>129540</xdr:rowOff>
    </xdr:from>
    <xdr:to>
      <xdr:col>10</xdr:col>
      <xdr:colOff>321044</xdr:colOff>
      <xdr:row>7</xdr:row>
      <xdr:rowOff>769620</xdr:rowOff>
    </xdr:to>
    <xdr:sp macro="" textlink="">
      <xdr:nvSpPr>
        <xdr:cNvPr id="8" name="Rounded Rectangle 7"/>
        <xdr:cNvSpPr>
          <a:spLocks noChangeAspect="1"/>
        </xdr:cNvSpPr>
      </xdr:nvSpPr>
      <xdr:spPr>
        <a:xfrm>
          <a:off x="6195060" y="1638300"/>
          <a:ext cx="3574784" cy="3383280"/>
        </a:xfrm>
        <a:prstGeom prst="roundRect">
          <a:avLst/>
        </a:prstGeom>
        <a:noFill/>
        <a:ln w="190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chemeClr val="bg2">
                  <a:lumMod val="50000"/>
                </a:schemeClr>
              </a:solidFill>
              <a:latin typeface="Tw Cen MT" panose="020B0602020104020603" pitchFamily="34" charset="0"/>
            </a:rPr>
            <a:t>PLAN VIEW</a:t>
          </a:r>
        </a:p>
      </xdr:txBody>
    </xdr:sp>
    <xdr:clientData/>
  </xdr:twoCellAnchor>
  <xdr:twoCellAnchor>
    <xdr:from>
      <xdr:col>2</xdr:col>
      <xdr:colOff>0</xdr:colOff>
      <xdr:row>5</xdr:row>
      <xdr:rowOff>335280</xdr:rowOff>
    </xdr:from>
    <xdr:to>
      <xdr:col>3</xdr:col>
      <xdr:colOff>60960</xdr:colOff>
      <xdr:row>5</xdr:row>
      <xdr:rowOff>792480</xdr:rowOff>
    </xdr:to>
    <xdr:sp macro="" textlink="">
      <xdr:nvSpPr>
        <xdr:cNvPr id="7" name="Oval 6"/>
        <xdr:cNvSpPr/>
      </xdr:nvSpPr>
      <xdr:spPr>
        <a:xfrm>
          <a:off x="586740" y="27584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579120</xdr:rowOff>
    </xdr:from>
    <xdr:to>
      <xdr:col>3</xdr:col>
      <xdr:colOff>60960</xdr:colOff>
      <xdr:row>5</xdr:row>
      <xdr:rowOff>121920</xdr:rowOff>
    </xdr:to>
    <xdr:sp macro="" textlink="">
      <xdr:nvSpPr>
        <xdr:cNvPr id="9" name="Oval 8"/>
        <xdr:cNvSpPr/>
      </xdr:nvSpPr>
      <xdr:spPr>
        <a:xfrm>
          <a:off x="586740" y="20878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xdr:row>
      <xdr:rowOff>106680</xdr:rowOff>
    </xdr:from>
    <xdr:to>
      <xdr:col>3</xdr:col>
      <xdr:colOff>60960</xdr:colOff>
      <xdr:row>6</xdr:row>
      <xdr:rowOff>563880</xdr:rowOff>
    </xdr:to>
    <xdr:sp macro="" textlink="">
      <xdr:nvSpPr>
        <xdr:cNvPr id="10" name="Oval 9"/>
        <xdr:cNvSpPr/>
      </xdr:nvSpPr>
      <xdr:spPr>
        <a:xfrm>
          <a:off x="586740" y="34442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563880</xdr:rowOff>
    </xdr:from>
    <xdr:to>
      <xdr:col>3</xdr:col>
      <xdr:colOff>1371600</xdr:colOff>
      <xdr:row>5</xdr:row>
      <xdr:rowOff>563880</xdr:rowOff>
    </xdr:to>
    <xdr:cxnSp macro="">
      <xdr:nvCxnSpPr>
        <xdr:cNvPr id="11" name="Straight Arrow Connector 10"/>
        <xdr:cNvCxnSpPr>
          <a:stCxn id="7" idx="6"/>
        </xdr:cNvCxnSpPr>
      </xdr:nvCxnSpPr>
      <xdr:spPr>
        <a:xfrm>
          <a:off x="1043940" y="2987040"/>
          <a:ext cx="13106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5</xdr:row>
      <xdr:rowOff>830580</xdr:rowOff>
    </xdr:from>
    <xdr:to>
      <xdr:col>3</xdr:col>
      <xdr:colOff>1752600</xdr:colOff>
      <xdr:row>6</xdr:row>
      <xdr:rowOff>350520</xdr:rowOff>
    </xdr:to>
    <xdr:cxnSp macro="">
      <xdr:nvCxnSpPr>
        <xdr:cNvPr id="12" name="Elbow Connector 11"/>
        <xdr:cNvCxnSpPr/>
      </xdr:nvCxnSpPr>
      <xdr:spPr>
        <a:xfrm flipV="1">
          <a:off x="1059180" y="3253740"/>
          <a:ext cx="1676400" cy="43434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771526</xdr:rowOff>
    </xdr:from>
    <xdr:to>
      <xdr:col>3</xdr:col>
      <xdr:colOff>60960</xdr:colOff>
      <xdr:row>7</xdr:row>
      <xdr:rowOff>314326</xdr:rowOff>
    </xdr:to>
    <xdr:sp macro="" textlink="">
      <xdr:nvSpPr>
        <xdr:cNvPr id="13" name="Oval 12"/>
        <xdr:cNvSpPr/>
      </xdr:nvSpPr>
      <xdr:spPr>
        <a:xfrm>
          <a:off x="586740" y="410908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6</xdr:row>
      <xdr:rowOff>373380</xdr:rowOff>
    </xdr:from>
    <xdr:to>
      <xdr:col>4</xdr:col>
      <xdr:colOff>167640</xdr:colOff>
      <xdr:row>7</xdr:row>
      <xdr:rowOff>85726</xdr:rowOff>
    </xdr:to>
    <xdr:cxnSp macro="">
      <xdr:nvCxnSpPr>
        <xdr:cNvPr id="15" name="Elbow Connector 14"/>
        <xdr:cNvCxnSpPr>
          <a:stCxn id="13" idx="6"/>
        </xdr:cNvCxnSpPr>
      </xdr:nvCxnSpPr>
      <xdr:spPr>
        <a:xfrm flipV="1">
          <a:off x="1043940" y="3710940"/>
          <a:ext cx="2080260" cy="626746"/>
        </a:xfrm>
        <a:prstGeom prst="bentConnector3">
          <a:avLst>
            <a:gd name="adj1" fmla="val 100549"/>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xdr:row>
      <xdr:rowOff>807720</xdr:rowOff>
    </xdr:from>
    <xdr:to>
      <xdr:col>4</xdr:col>
      <xdr:colOff>121920</xdr:colOff>
      <xdr:row>4</xdr:row>
      <xdr:rowOff>807720</xdr:rowOff>
    </xdr:to>
    <xdr:cxnSp macro="">
      <xdr:nvCxnSpPr>
        <xdr:cNvPr id="16" name="Straight Arrow Connector 15"/>
        <xdr:cNvCxnSpPr>
          <a:stCxn id="9" idx="6"/>
        </xdr:cNvCxnSpPr>
      </xdr:nvCxnSpPr>
      <xdr:spPr>
        <a:xfrm>
          <a:off x="1043940" y="2316480"/>
          <a:ext cx="20345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3</xdr:col>
      <xdr:colOff>1415143</xdr:colOff>
      <xdr:row>21</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9144000"/>
          <a:ext cx="1811383" cy="499872"/>
        </a:xfrm>
        <a:prstGeom prst="rect">
          <a:avLst/>
        </a:prstGeom>
      </xdr:spPr>
    </xdr:pic>
    <xdr:clientData/>
  </xdr:twoCellAnchor>
  <xdr:oneCellAnchor>
    <xdr:from>
      <xdr:col>2</xdr:col>
      <xdr:colOff>0</xdr:colOff>
      <xdr:row>3</xdr:row>
      <xdr:rowOff>0</xdr:rowOff>
    </xdr:from>
    <xdr:ext cx="13441680" cy="1626471"/>
    <xdr:sp macro="" textlink="">
      <xdr:nvSpPr>
        <xdr:cNvPr id="4" name="TextBox 3"/>
        <xdr:cNvSpPr txBox="1"/>
      </xdr:nvSpPr>
      <xdr:spPr>
        <a:xfrm>
          <a:off x="586740" y="1181100"/>
          <a:ext cx="13441680" cy="1626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400">
              <a:latin typeface="+mj-lt"/>
            </a:rPr>
            <a:t>The Government of Canada is responsible for creating safe and healthy work environments for all its employees. Gcworkplace is the new vision for the Government of Canada workplace. Gcworkplace is more than just new workpoint types and modern furniture, it's a new way of workingfor a modern, high-performing public service.</a:t>
          </a:r>
        </a:p>
        <a:p>
          <a:endParaRPr lang="en-CA" sz="1400">
            <a:latin typeface="+mj-lt"/>
          </a:endParaRPr>
        </a:p>
        <a:p>
          <a:r>
            <a:rPr lang="en-CA" sz="1400">
              <a:latin typeface="+mj-lt"/>
            </a:rPr>
            <a:t>The GCworkplace Design Guide has been developped as the companion document to the Government of Canada Workplace Fit-Up Standards and is mandatory for all planning and design of general purpose office spaces. This document presents various types of furniture layouts that correspond with the GCworkplace Design Guide. The furniture itemized below the images in each layout correspond with products available in the Workspaces Supply Arrangment (SA). These layouts are examples of what Public Services and Procurement Canada (PSPC) encourages clients to use in their own GCworkplace designs, but there are many alternate options and solutions that can be used.</a:t>
          </a:r>
        </a:p>
      </xdr:txBody>
    </xdr:sp>
    <xdr:clientData/>
  </xdr:oneCellAnchor>
  <xdr:oneCellAnchor>
    <xdr:from>
      <xdr:col>8</xdr:col>
      <xdr:colOff>1021080</xdr:colOff>
      <xdr:row>6</xdr:row>
      <xdr:rowOff>68580</xdr:rowOff>
    </xdr:from>
    <xdr:ext cx="184731" cy="264560"/>
    <xdr:sp macro="" textlink="">
      <xdr:nvSpPr>
        <xdr:cNvPr id="7" name="TextBox 6"/>
        <xdr:cNvSpPr txBox="1"/>
      </xdr:nvSpPr>
      <xdr:spPr>
        <a:xfrm>
          <a:off x="6964680" y="3406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2</xdr:col>
      <xdr:colOff>0</xdr:colOff>
      <xdr:row>7</xdr:row>
      <xdr:rowOff>0</xdr:rowOff>
    </xdr:from>
    <xdr:ext cx="13441680" cy="2722284"/>
    <xdr:sp macro="" textlink="">
      <xdr:nvSpPr>
        <xdr:cNvPr id="9" name="TextBox 8"/>
        <xdr:cNvSpPr txBox="1"/>
      </xdr:nvSpPr>
      <xdr:spPr>
        <a:xfrm>
          <a:off x="586740" y="3931920"/>
          <a:ext cx="13441680" cy="27222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400">
              <a:latin typeface="+mj-lt"/>
            </a:rPr>
            <a:t>Furniture Supply Arrangements (SA) are mandatory procurement instruments that must be used by client</a:t>
          </a:r>
          <a:r>
            <a:rPr lang="en-CA" sz="1400" baseline="0">
              <a:latin typeface="+mj-lt"/>
            </a:rPr>
            <a:t> departments acting on their own behalf, or by PSPC, when preparing requisitions for furniture (with some exceptions). The SAs are a supply method consisting of pre-approved furniture products and services from a pool of pre qualified suppliers.</a:t>
          </a:r>
        </a:p>
        <a:p>
          <a:endParaRPr lang="en-CA" sz="1400" baseline="0">
            <a:latin typeface="+mj-lt"/>
          </a:endParaRPr>
        </a:p>
        <a:p>
          <a:r>
            <a:rPr lang="en-CA" sz="1400" baseline="0">
              <a:latin typeface="+mj-lt"/>
            </a:rPr>
            <a:t>Currently two SAs exist for the procurement of furniture:</a:t>
          </a:r>
        </a:p>
        <a:p>
          <a:r>
            <a:rPr lang="en-CA" sz="1400" baseline="0">
              <a:latin typeface="+mj-lt"/>
            </a:rPr>
            <a:t>          </a:t>
          </a:r>
          <a:r>
            <a:rPr lang="en-CA" sz="1400" baseline="0">
              <a:latin typeface="Calibri Light" panose="020F0302020204030204" pitchFamily="34" charset="0"/>
              <a:cs typeface="Calibri Light" panose="020F0302020204030204" pitchFamily="34" charset="0"/>
            </a:rPr>
            <a:t>• </a:t>
          </a:r>
          <a:r>
            <a:rPr lang="en-CA" sz="1400" baseline="0">
              <a:latin typeface="+mj-lt"/>
            </a:rPr>
            <a:t>Office Seating (Rotary and Side Chairs): E60PQ-120001/G</a:t>
          </a:r>
        </a:p>
        <a:p>
          <a:r>
            <a:rPr lang="en-CA" sz="1400" baseline="0">
              <a:latin typeface="+mj-lt"/>
            </a:rPr>
            <a:t>          </a:t>
          </a:r>
          <a:r>
            <a:rPr lang="en-CA" sz="1400" baseline="0">
              <a:latin typeface="Calibri Light" panose="020F0302020204030204" pitchFamily="34" charset="0"/>
              <a:cs typeface="Calibri Light" panose="020F0302020204030204" pitchFamily="34" charset="0"/>
            </a:rPr>
            <a:t>• </a:t>
          </a:r>
          <a:r>
            <a:rPr lang="en-CA" sz="1400" baseline="0">
              <a:latin typeface="+mj-lt"/>
            </a:rPr>
            <a:t>Furniture for Work Spaces: E60PQ-140003/C</a:t>
          </a:r>
        </a:p>
        <a:p>
          <a:endParaRPr lang="en-CA" sz="1400" baseline="0">
            <a:latin typeface="+mj-lt"/>
          </a:endParaRPr>
        </a:p>
        <a:p>
          <a:r>
            <a:rPr lang="en-CA" sz="1400" i="1" baseline="0">
              <a:latin typeface="+mj-lt"/>
            </a:rPr>
            <a:t>Note: Throughout this document audio-visual equipment (monitors, televisions, etc.) is shown. These items are not procured through the two supply arrangements listed above, they are shown for visualisation purposes only.</a:t>
          </a:r>
        </a:p>
        <a:p>
          <a:endParaRPr lang="en-CA" sz="1400" i="1" baseline="0">
            <a:latin typeface="+mj-lt"/>
          </a:endParaRPr>
        </a:p>
        <a:p>
          <a:r>
            <a:rPr lang="en-CA" sz="1400" i="1" baseline="0">
              <a:latin typeface="+mj-lt"/>
            </a:rPr>
            <a:t>Note: Throughout this document the following abbreviations are used: </a:t>
          </a:r>
          <a:r>
            <a:rPr lang="en-CA" sz="1400" i="1">
              <a:latin typeface="+mj-lt"/>
            </a:rPr>
            <a:t>CST (Client Search Tool), NSA (Non-Supply Arrangement</a:t>
          </a:r>
          <a:r>
            <a:rPr lang="en-CA" sz="1400" i="1" baseline="0">
              <a:latin typeface="+mj-lt"/>
            </a:rPr>
            <a:t> (Products purchased outside of the two SAs listed above)), OS (Office Seating (Products purchased from the Office Seating SA listed above)).</a:t>
          </a:r>
          <a:endParaRPr lang="en-CA" sz="1400" i="1">
            <a:latin typeface="+mj-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59</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11864340"/>
          <a:ext cx="1827519" cy="5088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53</xdr:row>
      <xdr:rowOff>0</xdr:rowOff>
    </xdr:from>
    <xdr:to>
      <xdr:col>3</xdr:col>
      <xdr:colOff>1415143</xdr:colOff>
      <xdr:row>55</xdr:row>
      <xdr:rowOff>42672</xdr:rowOff>
    </xdr:to>
    <xdr:pic>
      <xdr:nvPicPr>
        <xdr:cNvPr id="6"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13487400"/>
          <a:ext cx="1811383" cy="499872"/>
        </a:xfrm>
        <a:prstGeom prst="rect">
          <a:avLst/>
        </a:prstGeom>
      </xdr:spPr>
    </xdr:pic>
    <xdr:clientData/>
  </xdr:twoCellAnchor>
  <xdr:twoCellAnchor editAs="oneCell">
    <xdr:from>
      <xdr:col>2</xdr:col>
      <xdr:colOff>0</xdr:colOff>
      <xdr:row>75</xdr:row>
      <xdr:rowOff>0</xdr:rowOff>
    </xdr:from>
    <xdr:to>
      <xdr:col>3</xdr:col>
      <xdr:colOff>1415143</xdr:colOff>
      <xdr:row>77</xdr:row>
      <xdr:rowOff>42672</xdr:rowOff>
    </xdr:to>
    <xdr:pic>
      <xdr:nvPicPr>
        <xdr:cNvPr id="7"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19888200"/>
          <a:ext cx="1811383" cy="499872"/>
        </a:xfrm>
        <a:prstGeom prst="rect">
          <a:avLst/>
        </a:prstGeom>
      </xdr:spPr>
    </xdr:pic>
    <xdr:clientData/>
  </xdr:twoCellAnchor>
  <xdr:twoCellAnchor editAs="oneCell">
    <xdr:from>
      <xdr:col>2</xdr:col>
      <xdr:colOff>0</xdr:colOff>
      <xdr:row>122</xdr:row>
      <xdr:rowOff>0</xdr:rowOff>
    </xdr:from>
    <xdr:to>
      <xdr:col>3</xdr:col>
      <xdr:colOff>1415143</xdr:colOff>
      <xdr:row>124</xdr:row>
      <xdr:rowOff>42672</xdr:rowOff>
    </xdr:to>
    <xdr:pic>
      <xdr:nvPicPr>
        <xdr:cNvPr id="8"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28712160"/>
          <a:ext cx="1811383" cy="499872"/>
        </a:xfrm>
        <a:prstGeom prst="rect">
          <a:avLst/>
        </a:prstGeom>
      </xdr:spPr>
    </xdr:pic>
    <xdr:clientData/>
  </xdr:twoCellAnchor>
  <xdr:oneCellAnchor>
    <xdr:from>
      <xdr:col>2</xdr:col>
      <xdr:colOff>0</xdr:colOff>
      <xdr:row>150</xdr:row>
      <xdr:rowOff>0</xdr:rowOff>
    </xdr:from>
    <xdr:ext cx="1811383" cy="499872"/>
    <xdr:pic>
      <xdr:nvPicPr>
        <xdr:cNvPr id="9"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586740" y="29740860"/>
          <a:ext cx="1811383" cy="499872"/>
        </a:xfrm>
        <a:prstGeom prst="rect">
          <a:avLst/>
        </a:prstGeom>
      </xdr:spPr>
    </xdr:pic>
    <xdr:clientData/>
  </xdr:oneCellAnchor>
  <xdr:twoCellAnchor editAs="absolute">
    <xdr:from>
      <xdr:col>2</xdr:col>
      <xdr:colOff>381000</xdr:colOff>
      <xdr:row>4</xdr:row>
      <xdr:rowOff>91440</xdr:rowOff>
    </xdr:from>
    <xdr:to>
      <xdr:col>8</xdr:col>
      <xdr:colOff>633956</xdr:colOff>
      <xdr:row>7</xdr:row>
      <xdr:rowOff>731520</xdr:rowOff>
    </xdr:to>
    <xdr:sp macro="" textlink="">
      <xdr:nvSpPr>
        <xdr:cNvPr id="12" name="Rounded Rectangle 11"/>
        <xdr:cNvSpPr>
          <a:spLocks noChangeAspect="1"/>
        </xdr:cNvSpPr>
      </xdr:nvSpPr>
      <xdr:spPr>
        <a:xfrm>
          <a:off x="967740" y="1600200"/>
          <a:ext cx="5609816" cy="3383280"/>
        </a:xfrm>
        <a:prstGeom prst="roundRect">
          <a:avLst>
            <a:gd name="adj" fmla="val 7208"/>
          </a:avLst>
        </a:prstGeom>
        <a:blipFill>
          <a:blip xmlns:r="http://schemas.openxmlformats.org/officeDocument/2006/relationships" r:embed="rId2"/>
          <a:srcRect/>
          <a:stretch>
            <a:fillRect t="-11732"/>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0</xdr:colOff>
      <xdr:row>5</xdr:row>
      <xdr:rowOff>9793</xdr:rowOff>
    </xdr:from>
    <xdr:to>
      <xdr:col>3</xdr:col>
      <xdr:colOff>60960</xdr:colOff>
      <xdr:row>5</xdr:row>
      <xdr:rowOff>466993</xdr:rowOff>
    </xdr:to>
    <xdr:sp macro="" textlink="">
      <xdr:nvSpPr>
        <xdr:cNvPr id="10" name="Oval 9"/>
        <xdr:cNvSpPr/>
      </xdr:nvSpPr>
      <xdr:spPr>
        <a:xfrm>
          <a:off x="586740" y="2432953"/>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253633</xdr:rowOff>
    </xdr:from>
    <xdr:to>
      <xdr:col>3</xdr:col>
      <xdr:colOff>60960</xdr:colOff>
      <xdr:row>4</xdr:row>
      <xdr:rowOff>710833</xdr:rowOff>
    </xdr:to>
    <xdr:sp macro="" textlink="">
      <xdr:nvSpPr>
        <xdr:cNvPr id="11" name="Oval 10"/>
        <xdr:cNvSpPr/>
      </xdr:nvSpPr>
      <xdr:spPr>
        <a:xfrm>
          <a:off x="586740" y="1762393"/>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5</xdr:row>
      <xdr:rowOff>695593</xdr:rowOff>
    </xdr:from>
    <xdr:to>
      <xdr:col>3</xdr:col>
      <xdr:colOff>60960</xdr:colOff>
      <xdr:row>6</xdr:row>
      <xdr:rowOff>238393</xdr:rowOff>
    </xdr:to>
    <xdr:sp macro="" textlink="">
      <xdr:nvSpPr>
        <xdr:cNvPr id="13" name="Oval 12"/>
        <xdr:cNvSpPr/>
      </xdr:nvSpPr>
      <xdr:spPr>
        <a:xfrm>
          <a:off x="586740" y="3118753"/>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76200</xdr:colOff>
      <xdr:row>5</xdr:row>
      <xdr:rowOff>472440</xdr:rowOff>
    </xdr:from>
    <xdr:to>
      <xdr:col>3</xdr:col>
      <xdr:colOff>1744980</xdr:colOff>
      <xdr:row>6</xdr:row>
      <xdr:rowOff>35919</xdr:rowOff>
    </xdr:to>
    <xdr:cxnSp macro="">
      <xdr:nvCxnSpPr>
        <xdr:cNvPr id="15" name="Elbow Connector 14"/>
        <xdr:cNvCxnSpPr/>
      </xdr:nvCxnSpPr>
      <xdr:spPr>
        <a:xfrm flipV="1">
          <a:off x="1059180" y="2895600"/>
          <a:ext cx="1668780" cy="477879"/>
        </a:xfrm>
        <a:prstGeom prst="bentConnector3">
          <a:avLst>
            <a:gd name="adj1" fmla="val 10068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xdr:row>
      <xdr:rowOff>446039</xdr:rowOff>
    </xdr:from>
    <xdr:to>
      <xdr:col>3</xdr:col>
      <xdr:colOff>60960</xdr:colOff>
      <xdr:row>6</xdr:row>
      <xdr:rowOff>903239</xdr:rowOff>
    </xdr:to>
    <xdr:sp macro="" textlink="">
      <xdr:nvSpPr>
        <xdr:cNvPr id="16" name="Oval 15"/>
        <xdr:cNvSpPr/>
      </xdr:nvSpPr>
      <xdr:spPr>
        <a:xfrm>
          <a:off x="586740" y="3783599"/>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8</xdr:col>
      <xdr:colOff>548640</xdr:colOff>
      <xdr:row>5</xdr:row>
      <xdr:rowOff>335280</xdr:rowOff>
    </xdr:from>
    <xdr:to>
      <xdr:col>8</xdr:col>
      <xdr:colOff>1005840</xdr:colOff>
      <xdr:row>5</xdr:row>
      <xdr:rowOff>792480</xdr:rowOff>
    </xdr:to>
    <xdr:sp macro="" textlink="">
      <xdr:nvSpPr>
        <xdr:cNvPr id="17" name="Oval 16"/>
        <xdr:cNvSpPr/>
      </xdr:nvSpPr>
      <xdr:spPr>
        <a:xfrm>
          <a:off x="6481354" y="2762794"/>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2</xdr:col>
      <xdr:colOff>0</xdr:colOff>
      <xdr:row>7</xdr:row>
      <xdr:rowOff>190500</xdr:rowOff>
    </xdr:from>
    <xdr:to>
      <xdr:col>3</xdr:col>
      <xdr:colOff>60960</xdr:colOff>
      <xdr:row>7</xdr:row>
      <xdr:rowOff>647700</xdr:rowOff>
    </xdr:to>
    <xdr:sp macro="" textlink="">
      <xdr:nvSpPr>
        <xdr:cNvPr id="18" name="Oval 17"/>
        <xdr:cNvSpPr/>
      </xdr:nvSpPr>
      <xdr:spPr>
        <a:xfrm>
          <a:off x="586740" y="44424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8</xdr:col>
      <xdr:colOff>548640</xdr:colOff>
      <xdr:row>6</xdr:row>
      <xdr:rowOff>106680</xdr:rowOff>
    </xdr:from>
    <xdr:to>
      <xdr:col>8</xdr:col>
      <xdr:colOff>1005840</xdr:colOff>
      <xdr:row>6</xdr:row>
      <xdr:rowOff>563880</xdr:rowOff>
    </xdr:to>
    <xdr:sp macro="" textlink="">
      <xdr:nvSpPr>
        <xdr:cNvPr id="19" name="Oval 18"/>
        <xdr:cNvSpPr/>
      </xdr:nvSpPr>
      <xdr:spPr>
        <a:xfrm>
          <a:off x="6481354" y="3448594"/>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3</xdr:col>
      <xdr:colOff>60960</xdr:colOff>
      <xdr:row>4</xdr:row>
      <xdr:rowOff>482233</xdr:rowOff>
    </xdr:from>
    <xdr:to>
      <xdr:col>6</xdr:col>
      <xdr:colOff>586740</xdr:colOff>
      <xdr:row>5</xdr:row>
      <xdr:rowOff>243840</xdr:rowOff>
    </xdr:to>
    <xdr:cxnSp macro="">
      <xdr:nvCxnSpPr>
        <xdr:cNvPr id="21" name="Elbow Connector 20"/>
        <xdr:cNvCxnSpPr>
          <a:stCxn id="11" idx="6"/>
        </xdr:cNvCxnSpPr>
      </xdr:nvCxnSpPr>
      <xdr:spPr>
        <a:xfrm>
          <a:off x="1043940" y="1990993"/>
          <a:ext cx="3291840" cy="676007"/>
        </a:xfrm>
        <a:prstGeom prst="bentConnector3">
          <a:avLst>
            <a:gd name="adj1" fmla="val 8842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396240</xdr:rowOff>
    </xdr:from>
    <xdr:to>
      <xdr:col>3</xdr:col>
      <xdr:colOff>899160</xdr:colOff>
      <xdr:row>6</xdr:row>
      <xdr:rowOff>674639</xdr:rowOff>
    </xdr:to>
    <xdr:cxnSp macro="">
      <xdr:nvCxnSpPr>
        <xdr:cNvPr id="22" name="Elbow Connector 21"/>
        <xdr:cNvCxnSpPr>
          <a:stCxn id="16" idx="6"/>
        </xdr:cNvCxnSpPr>
      </xdr:nvCxnSpPr>
      <xdr:spPr>
        <a:xfrm flipV="1">
          <a:off x="1043940" y="3733800"/>
          <a:ext cx="838200" cy="278399"/>
        </a:xfrm>
        <a:prstGeom prst="bentConnector3">
          <a:avLst>
            <a:gd name="adj1" fmla="val 10181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137160</xdr:rowOff>
    </xdr:from>
    <xdr:to>
      <xdr:col>6</xdr:col>
      <xdr:colOff>182880</xdr:colOff>
      <xdr:row>7</xdr:row>
      <xdr:rowOff>419100</xdr:rowOff>
    </xdr:to>
    <xdr:cxnSp macro="">
      <xdr:nvCxnSpPr>
        <xdr:cNvPr id="23" name="Elbow Connector 22"/>
        <xdr:cNvCxnSpPr>
          <a:stCxn id="18" idx="6"/>
        </xdr:cNvCxnSpPr>
      </xdr:nvCxnSpPr>
      <xdr:spPr>
        <a:xfrm flipV="1">
          <a:off x="1043940" y="3474720"/>
          <a:ext cx="2887980" cy="1196340"/>
        </a:xfrm>
        <a:prstGeom prst="bentConnector3">
          <a:avLst>
            <a:gd name="adj1" fmla="val 10039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xdr:colOff>
      <xdr:row>5</xdr:row>
      <xdr:rowOff>289560</xdr:rowOff>
    </xdr:from>
    <xdr:to>
      <xdr:col>8</xdr:col>
      <xdr:colOff>548640</xdr:colOff>
      <xdr:row>5</xdr:row>
      <xdr:rowOff>563880</xdr:rowOff>
    </xdr:to>
    <xdr:cxnSp macro="">
      <xdr:nvCxnSpPr>
        <xdr:cNvPr id="24" name="Elbow Connector 23"/>
        <xdr:cNvCxnSpPr>
          <a:stCxn id="17" idx="2"/>
        </xdr:cNvCxnSpPr>
      </xdr:nvCxnSpPr>
      <xdr:spPr>
        <a:xfrm rot="10800000">
          <a:off x="3802380" y="2717074"/>
          <a:ext cx="2678974" cy="274320"/>
        </a:xfrm>
        <a:prstGeom prst="bentConnector3">
          <a:avLst>
            <a:gd name="adj1" fmla="val 100142"/>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891540</xdr:colOff>
      <xdr:row>6</xdr:row>
      <xdr:rowOff>335280</xdr:rowOff>
    </xdr:from>
    <xdr:to>
      <xdr:col>8</xdr:col>
      <xdr:colOff>548640</xdr:colOff>
      <xdr:row>6</xdr:row>
      <xdr:rowOff>335280</xdr:rowOff>
    </xdr:to>
    <xdr:cxnSp macro="">
      <xdr:nvCxnSpPr>
        <xdr:cNvPr id="25" name="Straight Arrow Connector 24"/>
        <xdr:cNvCxnSpPr>
          <a:stCxn id="19" idx="2"/>
        </xdr:cNvCxnSpPr>
      </xdr:nvCxnSpPr>
      <xdr:spPr>
        <a:xfrm flipH="1">
          <a:off x="5724797" y="3677194"/>
          <a:ext cx="756557"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238393</xdr:rowOff>
    </xdr:from>
    <xdr:to>
      <xdr:col>3</xdr:col>
      <xdr:colOff>1059180</xdr:colOff>
      <xdr:row>5</xdr:row>
      <xdr:rowOff>807720</xdr:rowOff>
    </xdr:to>
    <xdr:cxnSp macro="">
      <xdr:nvCxnSpPr>
        <xdr:cNvPr id="28" name="Elbow Connector 27"/>
        <xdr:cNvCxnSpPr>
          <a:stCxn id="10" idx="6"/>
        </xdr:cNvCxnSpPr>
      </xdr:nvCxnSpPr>
      <xdr:spPr>
        <a:xfrm>
          <a:off x="1043940" y="2661553"/>
          <a:ext cx="998220" cy="569327"/>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396239</xdr:colOff>
      <xdr:row>28</xdr:row>
      <xdr:rowOff>0</xdr:rowOff>
    </xdr:from>
    <xdr:to>
      <xdr:col>7</xdr:col>
      <xdr:colOff>685799</xdr:colOff>
      <xdr:row>48</xdr:row>
      <xdr:rowOff>0</xdr:rowOff>
    </xdr:to>
    <xdr:sp macro="" textlink="">
      <xdr:nvSpPr>
        <xdr:cNvPr id="58" name="Rounded Rectangle 57"/>
        <xdr:cNvSpPr>
          <a:spLocks/>
        </xdr:cNvSpPr>
      </xdr:nvSpPr>
      <xdr:spPr>
        <a:xfrm>
          <a:off x="990599" y="11201400"/>
          <a:ext cx="4572000" cy="4572000"/>
        </a:xfrm>
        <a:prstGeom prst="roundRect">
          <a:avLst>
            <a:gd name="adj" fmla="val 7242"/>
          </a:avLst>
        </a:prstGeom>
        <a:solidFill>
          <a:schemeClr val="bg1"/>
        </a:solidFill>
        <a:ln w="25400" cmpd="sng">
          <a:solidFill>
            <a:schemeClr val="tx1">
              <a:lumMod val="75000"/>
              <a:lumOff val="2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1440" rtlCol="0" anchor="t"/>
        <a:lstStyle/>
        <a:p>
          <a:pPr algn="l"/>
          <a:r>
            <a:rPr lang="en-CA" sz="1400" b="1">
              <a:solidFill>
                <a:schemeClr val="tx1">
                  <a:lumMod val="75000"/>
                  <a:lumOff val="25000"/>
                </a:schemeClr>
              </a:solidFill>
              <a:latin typeface="Tw Cen MT" panose="020B0602020104020603" pitchFamily="34" charset="0"/>
            </a:rPr>
            <a:t>TECHNICAL</a:t>
          </a:r>
          <a:r>
            <a:rPr lang="en-CA" sz="1400" b="1" baseline="0">
              <a:solidFill>
                <a:schemeClr val="tx1">
                  <a:lumMod val="75000"/>
                  <a:lumOff val="25000"/>
                </a:schemeClr>
              </a:solidFill>
              <a:latin typeface="Tw Cen MT" panose="020B0602020104020603" pitchFamily="34" charset="0"/>
            </a:rPr>
            <a:t> INFORMATION</a:t>
          </a:r>
        </a:p>
        <a:p>
          <a:pPr algn="l"/>
          <a:endParaRPr lang="en-CA" sz="1000">
            <a:solidFill>
              <a:schemeClr val="tx1">
                <a:lumMod val="75000"/>
                <a:lumOff val="25000"/>
              </a:schemeClr>
            </a:solidFill>
            <a:latin typeface="+mj-lt"/>
          </a:endParaRPr>
        </a:p>
        <a:p>
          <a:pPr algn="l"/>
          <a:r>
            <a:rPr lang="en-CA" sz="1000" b="1">
              <a:solidFill>
                <a:schemeClr val="tx1">
                  <a:lumMod val="75000"/>
                  <a:lumOff val="25000"/>
                </a:schemeClr>
              </a:solidFill>
              <a:latin typeface="+mj-lt"/>
            </a:rPr>
            <a:t>1 &amp; 2 - Base Height Panel with</a:t>
          </a:r>
          <a:r>
            <a:rPr lang="en-CA" sz="1000" b="1" baseline="0">
              <a:solidFill>
                <a:schemeClr val="tx1">
                  <a:lumMod val="75000"/>
                  <a:lumOff val="25000"/>
                </a:schemeClr>
              </a:solidFill>
              <a:latin typeface="+mj-lt"/>
            </a:rPr>
            <a:t> Panel Add-On Module</a:t>
          </a:r>
        </a:p>
        <a:p>
          <a:pPr algn="l"/>
          <a:r>
            <a:rPr lang="en-CA" sz="1000" b="0" baseline="0">
              <a:solidFill>
                <a:schemeClr val="tx1">
                  <a:lumMod val="75000"/>
                  <a:lumOff val="25000"/>
                </a:schemeClr>
              </a:solidFill>
              <a:latin typeface="+mj-lt"/>
            </a:rPr>
            <a:t>Combined height of 1067 to 1245 mm (42 to 49 in.). Referred to in the Supply Arrangement as "Work Surface Privacy Height Panel".</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3 &amp; 4 - Base Height Panel with Privacy Screen</a:t>
          </a:r>
        </a:p>
        <a:p>
          <a:pPr algn="l"/>
          <a:r>
            <a:rPr lang="en-CA" sz="1000" b="0" baseline="0">
              <a:solidFill>
                <a:schemeClr val="tx1">
                  <a:lumMod val="75000"/>
                  <a:lumOff val="25000"/>
                </a:schemeClr>
              </a:solidFill>
              <a:latin typeface="+mj-lt"/>
            </a:rPr>
            <a:t>Combined height of 1067 to 1245 mm (42 to 49 in.). Referred to in the Supply Arrangement as "Work Surface Privacy Height Panel".</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A - FIxed Height Work Surface</a:t>
          </a:r>
        </a:p>
        <a:p>
          <a:pPr algn="l"/>
          <a:r>
            <a:rPr lang="en-CA" sz="1000" b="0" baseline="0">
              <a:solidFill>
                <a:schemeClr val="tx1">
                  <a:lumMod val="75000"/>
                  <a:lumOff val="25000"/>
                </a:schemeClr>
              </a:solidFill>
              <a:latin typeface="+mj-lt"/>
            </a:rPr>
            <a:t>Work surface must be supported with panel-hung brackets, C-legs (shown), post legs and/or end gables. Ganging style may impact available selections.</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C - Monitor Arm</a:t>
          </a:r>
        </a:p>
        <a:p>
          <a:pPr algn="l"/>
          <a:r>
            <a:rPr lang="en-CA" sz="1000" b="0" baseline="0">
              <a:solidFill>
                <a:schemeClr val="tx1">
                  <a:lumMod val="75000"/>
                  <a:lumOff val="25000"/>
                </a:schemeClr>
              </a:solidFill>
              <a:latin typeface="+mj-lt"/>
            </a:rPr>
            <a:t>Single Monitor Arm recommended for Height Adjustable Work Surfaces 1219 mm (48 in.) or 1372 mm (54 in.) in length.</a:t>
          </a:r>
        </a:p>
        <a:p>
          <a:pPr algn="l"/>
          <a:endParaRPr lang="en-CA" sz="1000" b="0" baseline="0">
            <a:solidFill>
              <a:schemeClr val="tx1">
                <a:lumMod val="75000"/>
                <a:lumOff val="25000"/>
              </a:schemeClr>
            </a:solidFill>
            <a:latin typeface="+mj-lt"/>
          </a:endParaRPr>
        </a:p>
        <a:p>
          <a:pPr algn="l"/>
          <a:r>
            <a:rPr lang="en-CA" sz="1000" b="0" baseline="0">
              <a:solidFill>
                <a:schemeClr val="tx1">
                  <a:lumMod val="75000"/>
                  <a:lumOff val="25000"/>
                </a:schemeClr>
              </a:solidFill>
              <a:latin typeface="+mj-lt"/>
            </a:rPr>
            <a:t>Double Monitor Arm recommended for Height Adjustable Work Surfaces 1524 mm (60 in.), 1676 mm (66 in.) or 1829 mm (72 in.) in length.</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D - Power Module</a:t>
          </a:r>
        </a:p>
        <a:p>
          <a:pPr algn="l"/>
          <a:r>
            <a:rPr lang="en-CA" sz="1000" b="0" baseline="0">
              <a:solidFill>
                <a:schemeClr val="tx1">
                  <a:lumMod val="75000"/>
                  <a:lumOff val="25000"/>
                </a:schemeClr>
              </a:solidFill>
              <a:latin typeface="+mj-lt"/>
            </a:rPr>
            <a:t>For accessibility, a power source is recommended at (or near) the leading edge of the height adjustable work surface</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G - Storage Component</a:t>
          </a:r>
        </a:p>
        <a:p>
          <a:pPr algn="l"/>
          <a:r>
            <a:rPr lang="en-CA" sz="1000" b="0" baseline="0">
              <a:solidFill>
                <a:schemeClr val="tx1">
                  <a:lumMod val="75000"/>
                  <a:lumOff val="25000"/>
                </a:schemeClr>
              </a:solidFill>
              <a:latin typeface="+mj-lt"/>
            </a:rPr>
            <a:t>If locks are required, keyless (i.e. keypad) is recommended.</a:t>
          </a:r>
        </a:p>
        <a:p>
          <a:pPr algn="l"/>
          <a:endParaRPr lang="en-CA" sz="1100" b="1">
            <a:solidFill>
              <a:schemeClr val="tx1">
                <a:lumMod val="75000"/>
                <a:lumOff val="25000"/>
              </a:schemeClr>
            </a:solidFill>
            <a:latin typeface="+mj-lt"/>
          </a:endParaRPr>
        </a:p>
      </xdr:txBody>
    </xdr:sp>
    <xdr:clientData/>
  </xdr:twoCellAnchor>
  <xdr:twoCellAnchor>
    <xdr:from>
      <xdr:col>7</xdr:col>
      <xdr:colOff>872728</xdr:colOff>
      <xdr:row>28</xdr:row>
      <xdr:rowOff>7620</xdr:rowOff>
    </xdr:from>
    <xdr:to>
      <xdr:col>12</xdr:col>
      <xdr:colOff>967978</xdr:colOff>
      <xdr:row>48</xdr:row>
      <xdr:rowOff>7620</xdr:rowOff>
    </xdr:to>
    <xdr:grpSp>
      <xdr:nvGrpSpPr>
        <xdr:cNvPr id="64" name="Group 63"/>
        <xdr:cNvGrpSpPr/>
      </xdr:nvGrpSpPr>
      <xdr:grpSpPr>
        <a:xfrm>
          <a:off x="5719048" y="11186160"/>
          <a:ext cx="6396990" cy="4572000"/>
          <a:chOff x="5806678" y="11231880"/>
          <a:chExt cx="6400800" cy="4572000"/>
        </a:xfrm>
      </xdr:grpSpPr>
      <xdr:pic>
        <xdr:nvPicPr>
          <xdr:cNvPr id="62" name="Picture 61"/>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6048857" y="11396637"/>
            <a:ext cx="5916442" cy="3830595"/>
          </a:xfrm>
          <a:prstGeom prst="rect">
            <a:avLst/>
          </a:prstGeom>
        </xdr:spPr>
      </xdr:pic>
      <xdr:sp macro="" textlink="">
        <xdr:nvSpPr>
          <xdr:cNvPr id="61" name="Rounded Rectangle 60"/>
          <xdr:cNvSpPr>
            <a:spLocks/>
          </xdr:cNvSpPr>
        </xdr:nvSpPr>
        <xdr:spPr>
          <a:xfrm>
            <a:off x="5806678" y="11231880"/>
            <a:ext cx="6400800" cy="4572000"/>
          </a:xfrm>
          <a:prstGeom prst="roundRect">
            <a:avLst>
              <a:gd name="adj" fmla="val 7084"/>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b"/>
          <a:lstStyle/>
          <a:p>
            <a:pPr algn="l"/>
            <a:r>
              <a:rPr lang="en-CA" sz="1000">
                <a:solidFill>
                  <a:schemeClr val="tx1">
                    <a:lumMod val="75000"/>
                    <a:lumOff val="25000"/>
                  </a:schemeClr>
                </a:solidFill>
                <a:latin typeface="+mj-lt"/>
              </a:rPr>
              <a:t>As an alternative, work surface mounted privacy screens can replace certain panel elements. This provides the benefit of privacy "moving" with the user as they change the position of the height adjustable work surface.</a:t>
            </a:r>
          </a:p>
        </xdr:txBody>
      </xdr:sp>
    </xdr:grpSp>
    <xdr:clientData/>
  </xdr:twoCellAnchor>
  <xdr:twoCellAnchor editAs="absolute">
    <xdr:from>
      <xdr:col>9</xdr:col>
      <xdr:colOff>53340</xdr:colOff>
      <xdr:row>4</xdr:row>
      <xdr:rowOff>91440</xdr:rowOff>
    </xdr:from>
    <xdr:to>
      <xdr:col>12</xdr:col>
      <xdr:colOff>822530</xdr:colOff>
      <xdr:row>7</xdr:row>
      <xdr:rowOff>731520</xdr:rowOff>
    </xdr:to>
    <xdr:grpSp>
      <xdr:nvGrpSpPr>
        <xdr:cNvPr id="29" name="Group 28"/>
        <xdr:cNvGrpSpPr>
          <a:grpSpLocks noChangeAspect="1"/>
        </xdr:cNvGrpSpPr>
      </xdr:nvGrpSpPr>
      <xdr:grpSpPr>
        <a:xfrm>
          <a:off x="7094220" y="1600200"/>
          <a:ext cx="4876370" cy="3383280"/>
          <a:chOff x="7856220" y="2529840"/>
          <a:chExt cx="4876370" cy="3383280"/>
        </a:xfrm>
      </xdr:grpSpPr>
      <xdr:sp macro="" textlink="">
        <xdr:nvSpPr>
          <xdr:cNvPr id="30" name="Rounded Rectangle 29"/>
          <xdr:cNvSpPr>
            <a:spLocks noChangeAspect="1"/>
          </xdr:cNvSpPr>
        </xdr:nvSpPr>
        <xdr:spPr>
          <a:xfrm>
            <a:off x="7856220" y="2529840"/>
            <a:ext cx="4876370" cy="3383280"/>
          </a:xfrm>
          <a:prstGeom prst="roundRect">
            <a:avLst>
              <a:gd name="adj" fmla="val 6982"/>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bIns="91440" rtlCol="0" anchor="t"/>
          <a:lstStyle/>
          <a:p>
            <a:pPr algn="l"/>
            <a:r>
              <a:rPr lang="en-CA" sz="1600" b="1">
                <a:solidFill>
                  <a:srgbClr val="50C08B"/>
                </a:solidFill>
                <a:latin typeface="Tw Cen MT" panose="020B0602020104020603" pitchFamily="34" charset="0"/>
              </a:rPr>
              <a:t>PLAN VIEW</a:t>
            </a:r>
          </a:p>
        </xdr:txBody>
      </xdr:sp>
      <xdr:pic>
        <xdr:nvPicPr>
          <xdr:cNvPr id="31" name="Picture 30"/>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8320353" y="3048000"/>
            <a:ext cx="3948105" cy="2743200"/>
          </a:xfrm>
          <a:prstGeom prst="rect">
            <a:avLst/>
          </a:prstGeom>
        </xdr:spPr>
      </xdr:pic>
    </xdr:grpSp>
    <xdr:clientData/>
  </xdr:twoCellAnchor>
  <xdr:twoCellAnchor>
    <xdr:from>
      <xdr:col>3</xdr:col>
      <xdr:colOff>0</xdr:colOff>
      <xdr:row>60</xdr:row>
      <xdr:rowOff>121920</xdr:rowOff>
    </xdr:from>
    <xdr:to>
      <xdr:col>6</xdr:col>
      <xdr:colOff>1057049</xdr:colOff>
      <xdr:row>63</xdr:row>
      <xdr:rowOff>762000</xdr:rowOff>
    </xdr:to>
    <xdr:sp macro="" textlink="">
      <xdr:nvSpPr>
        <xdr:cNvPr id="34" name="Rounded Rectangle 33"/>
        <xdr:cNvSpPr>
          <a:spLocks noChangeAspect="1"/>
        </xdr:cNvSpPr>
      </xdr:nvSpPr>
      <xdr:spPr>
        <a:xfrm>
          <a:off x="982980" y="19210020"/>
          <a:ext cx="3823109" cy="3383280"/>
        </a:xfrm>
        <a:prstGeom prst="roundRect">
          <a:avLst>
            <a:gd name="adj" fmla="val 9685"/>
          </a:avLst>
        </a:prstGeom>
        <a:blipFill>
          <a:blip xmlns:r="http://schemas.openxmlformats.org/officeDocument/2006/relationships" r:embed="rId5"/>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487680</xdr:colOff>
      <xdr:row>60</xdr:row>
      <xdr:rowOff>121920</xdr:rowOff>
    </xdr:from>
    <xdr:to>
      <xdr:col>10</xdr:col>
      <xdr:colOff>30281</xdr:colOff>
      <xdr:row>63</xdr:row>
      <xdr:rowOff>762000</xdr:rowOff>
    </xdr:to>
    <xdr:grpSp>
      <xdr:nvGrpSpPr>
        <xdr:cNvPr id="20" name="Group 19"/>
        <xdr:cNvGrpSpPr/>
      </xdr:nvGrpSpPr>
      <xdr:grpSpPr>
        <a:xfrm>
          <a:off x="5334000" y="19210020"/>
          <a:ext cx="4145081" cy="3383280"/>
          <a:chOff x="4953000" y="19210020"/>
          <a:chExt cx="4145081" cy="3383280"/>
        </a:xfrm>
      </xdr:grpSpPr>
      <xdr:pic>
        <xdr:nvPicPr>
          <xdr:cNvPr id="5" name="Picture 4"/>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5343598" y="19728180"/>
            <a:ext cx="3363885" cy="2743200"/>
          </a:xfrm>
          <a:prstGeom prst="rect">
            <a:avLst/>
          </a:prstGeom>
        </xdr:spPr>
      </xdr:pic>
      <xdr:sp macro="" textlink="">
        <xdr:nvSpPr>
          <xdr:cNvPr id="37" name="Rounded Rectangle 36"/>
          <xdr:cNvSpPr>
            <a:spLocks noChangeAspect="1"/>
          </xdr:cNvSpPr>
        </xdr:nvSpPr>
        <xdr:spPr>
          <a:xfrm>
            <a:off x="4953000" y="19210020"/>
            <a:ext cx="4145081" cy="3383280"/>
          </a:xfrm>
          <a:prstGeom prst="roundRect">
            <a:avLst>
              <a:gd name="adj" fmla="val 8784"/>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bIns="45720" rtlCol="0" anchor="t"/>
          <a:lstStyle/>
          <a:p>
            <a:pPr algn="l"/>
            <a:r>
              <a:rPr lang="en-CA" sz="1600" b="1">
                <a:solidFill>
                  <a:srgbClr val="50C08B"/>
                </a:solidFill>
                <a:latin typeface="Tw Cen MT" panose="020B0602020104020603" pitchFamily="34" charset="0"/>
              </a:rPr>
              <a:t>PLAN VIEW</a:t>
            </a:r>
          </a:p>
        </xdr:txBody>
      </xdr:sp>
    </xdr:grpSp>
    <xdr:clientData/>
  </xdr:twoCellAnchor>
  <xdr:twoCellAnchor>
    <xdr:from>
      <xdr:col>2</xdr:col>
      <xdr:colOff>0</xdr:colOff>
      <xdr:row>61</xdr:row>
      <xdr:rowOff>327660</xdr:rowOff>
    </xdr:from>
    <xdr:to>
      <xdr:col>3</xdr:col>
      <xdr:colOff>60960</xdr:colOff>
      <xdr:row>61</xdr:row>
      <xdr:rowOff>784860</xdr:rowOff>
    </xdr:to>
    <xdr:sp macro="" textlink="">
      <xdr:nvSpPr>
        <xdr:cNvPr id="38" name="Oval 37"/>
        <xdr:cNvSpPr/>
      </xdr:nvSpPr>
      <xdr:spPr>
        <a:xfrm>
          <a:off x="586740" y="20330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60</xdr:row>
      <xdr:rowOff>571500</xdr:rowOff>
    </xdr:from>
    <xdr:to>
      <xdr:col>3</xdr:col>
      <xdr:colOff>60960</xdr:colOff>
      <xdr:row>61</xdr:row>
      <xdr:rowOff>114300</xdr:rowOff>
    </xdr:to>
    <xdr:sp macro="" textlink="">
      <xdr:nvSpPr>
        <xdr:cNvPr id="39" name="Oval 38"/>
        <xdr:cNvSpPr/>
      </xdr:nvSpPr>
      <xdr:spPr>
        <a:xfrm>
          <a:off x="586740" y="196596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62</xdr:row>
      <xdr:rowOff>99060</xdr:rowOff>
    </xdr:from>
    <xdr:to>
      <xdr:col>3</xdr:col>
      <xdr:colOff>60960</xdr:colOff>
      <xdr:row>62</xdr:row>
      <xdr:rowOff>556260</xdr:rowOff>
    </xdr:to>
    <xdr:sp macro="" textlink="">
      <xdr:nvSpPr>
        <xdr:cNvPr id="40" name="Oval 39"/>
        <xdr:cNvSpPr/>
      </xdr:nvSpPr>
      <xdr:spPr>
        <a:xfrm>
          <a:off x="586740" y="21015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76200</xdr:colOff>
      <xdr:row>62</xdr:row>
      <xdr:rowOff>243840</xdr:rowOff>
    </xdr:from>
    <xdr:to>
      <xdr:col>3</xdr:col>
      <xdr:colOff>1051560</xdr:colOff>
      <xdr:row>62</xdr:row>
      <xdr:rowOff>353787</xdr:rowOff>
    </xdr:to>
    <xdr:cxnSp macro="">
      <xdr:nvCxnSpPr>
        <xdr:cNvPr id="41" name="Elbow Connector 40"/>
        <xdr:cNvCxnSpPr/>
      </xdr:nvCxnSpPr>
      <xdr:spPr>
        <a:xfrm flipV="1">
          <a:off x="1059180" y="21160740"/>
          <a:ext cx="975360" cy="109947"/>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62</xdr:row>
      <xdr:rowOff>763906</xdr:rowOff>
    </xdr:from>
    <xdr:to>
      <xdr:col>3</xdr:col>
      <xdr:colOff>60960</xdr:colOff>
      <xdr:row>63</xdr:row>
      <xdr:rowOff>306706</xdr:rowOff>
    </xdr:to>
    <xdr:sp macro="" textlink="">
      <xdr:nvSpPr>
        <xdr:cNvPr id="42" name="Oval 41"/>
        <xdr:cNvSpPr/>
      </xdr:nvSpPr>
      <xdr:spPr>
        <a:xfrm>
          <a:off x="586740" y="2168080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6</xdr:col>
      <xdr:colOff>982980</xdr:colOff>
      <xdr:row>60</xdr:row>
      <xdr:rowOff>569327</xdr:rowOff>
    </xdr:from>
    <xdr:to>
      <xdr:col>7</xdr:col>
      <xdr:colOff>342900</xdr:colOff>
      <xdr:row>61</xdr:row>
      <xdr:rowOff>112127</xdr:rowOff>
    </xdr:to>
    <xdr:sp macro="" textlink="">
      <xdr:nvSpPr>
        <xdr:cNvPr id="43" name="Oval 42"/>
        <xdr:cNvSpPr/>
      </xdr:nvSpPr>
      <xdr:spPr>
        <a:xfrm>
          <a:off x="4732020" y="19657427"/>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6</xdr:col>
      <xdr:colOff>982980</xdr:colOff>
      <xdr:row>61</xdr:row>
      <xdr:rowOff>333107</xdr:rowOff>
    </xdr:from>
    <xdr:to>
      <xdr:col>7</xdr:col>
      <xdr:colOff>342900</xdr:colOff>
      <xdr:row>61</xdr:row>
      <xdr:rowOff>790307</xdr:rowOff>
    </xdr:to>
    <xdr:sp macro="" textlink="">
      <xdr:nvSpPr>
        <xdr:cNvPr id="44" name="Oval 43"/>
        <xdr:cNvSpPr/>
      </xdr:nvSpPr>
      <xdr:spPr>
        <a:xfrm>
          <a:off x="4732020" y="20335607"/>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3</xdr:col>
      <xdr:colOff>60960</xdr:colOff>
      <xdr:row>60</xdr:row>
      <xdr:rowOff>800100</xdr:rowOff>
    </xdr:from>
    <xdr:to>
      <xdr:col>5</xdr:col>
      <xdr:colOff>243840</xdr:colOff>
      <xdr:row>61</xdr:row>
      <xdr:rowOff>403860</xdr:rowOff>
    </xdr:to>
    <xdr:cxnSp macro="">
      <xdr:nvCxnSpPr>
        <xdr:cNvPr id="45" name="Elbow Connector 44"/>
        <xdr:cNvCxnSpPr>
          <a:stCxn id="39" idx="6"/>
        </xdr:cNvCxnSpPr>
      </xdr:nvCxnSpPr>
      <xdr:spPr>
        <a:xfrm>
          <a:off x="1043940" y="19888200"/>
          <a:ext cx="2552700" cy="518160"/>
        </a:xfrm>
        <a:prstGeom prst="bentConnector3">
          <a:avLst>
            <a:gd name="adj1" fmla="val 9985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62</xdr:row>
      <xdr:rowOff>129540</xdr:rowOff>
    </xdr:from>
    <xdr:to>
      <xdr:col>6</xdr:col>
      <xdr:colOff>434340</xdr:colOff>
      <xdr:row>63</xdr:row>
      <xdr:rowOff>78106</xdr:rowOff>
    </xdr:to>
    <xdr:cxnSp macro="">
      <xdr:nvCxnSpPr>
        <xdr:cNvPr id="46" name="Elbow Connector 45"/>
        <xdr:cNvCxnSpPr>
          <a:stCxn id="42" idx="6"/>
        </xdr:cNvCxnSpPr>
      </xdr:nvCxnSpPr>
      <xdr:spPr>
        <a:xfrm flipV="1">
          <a:off x="1043940" y="21046440"/>
          <a:ext cx="3139440" cy="862966"/>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213360</xdr:colOff>
      <xdr:row>60</xdr:row>
      <xdr:rowOff>797926</xdr:rowOff>
    </xdr:from>
    <xdr:to>
      <xdr:col>6</xdr:col>
      <xdr:colOff>982980</xdr:colOff>
      <xdr:row>61</xdr:row>
      <xdr:rowOff>236219</xdr:rowOff>
    </xdr:to>
    <xdr:cxnSp macro="">
      <xdr:nvCxnSpPr>
        <xdr:cNvPr id="47" name="Elbow Connector 46"/>
        <xdr:cNvCxnSpPr>
          <a:stCxn id="43" idx="2"/>
        </xdr:cNvCxnSpPr>
      </xdr:nvCxnSpPr>
      <xdr:spPr>
        <a:xfrm rot="10800000" flipV="1">
          <a:off x="3962400" y="19886026"/>
          <a:ext cx="769620" cy="352693"/>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61</xdr:row>
      <xdr:rowOff>373380</xdr:rowOff>
    </xdr:from>
    <xdr:to>
      <xdr:col>3</xdr:col>
      <xdr:colOff>1859280</xdr:colOff>
      <xdr:row>61</xdr:row>
      <xdr:rowOff>556260</xdr:rowOff>
    </xdr:to>
    <xdr:cxnSp macro="">
      <xdr:nvCxnSpPr>
        <xdr:cNvPr id="49" name="Elbow Connector 48"/>
        <xdr:cNvCxnSpPr>
          <a:stCxn id="38" idx="6"/>
        </xdr:cNvCxnSpPr>
      </xdr:nvCxnSpPr>
      <xdr:spPr>
        <a:xfrm flipV="1">
          <a:off x="1043940" y="20375880"/>
          <a:ext cx="1798320" cy="182880"/>
        </a:xfrm>
        <a:prstGeom prst="bentConnector3">
          <a:avLst>
            <a:gd name="adj1" fmla="val 9957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1280160</xdr:colOff>
      <xdr:row>61</xdr:row>
      <xdr:rowOff>561706</xdr:rowOff>
    </xdr:from>
    <xdr:to>
      <xdr:col>6</xdr:col>
      <xdr:colOff>982980</xdr:colOff>
      <xdr:row>62</xdr:row>
      <xdr:rowOff>777239</xdr:rowOff>
    </xdr:to>
    <xdr:cxnSp macro="">
      <xdr:nvCxnSpPr>
        <xdr:cNvPr id="79" name="Elbow Connector 78"/>
        <xdr:cNvCxnSpPr>
          <a:stCxn id="44" idx="2"/>
        </xdr:cNvCxnSpPr>
      </xdr:nvCxnSpPr>
      <xdr:spPr>
        <a:xfrm rot="10800000" flipV="1">
          <a:off x="2263140" y="20564206"/>
          <a:ext cx="2468880" cy="1129933"/>
        </a:xfrm>
        <a:prstGeom prst="bentConnector3">
          <a:avLst>
            <a:gd name="adj1" fmla="val 6666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10</xdr:col>
      <xdr:colOff>175260</xdr:colOff>
      <xdr:row>60</xdr:row>
      <xdr:rowOff>121920</xdr:rowOff>
    </xdr:from>
    <xdr:to>
      <xdr:col>13</xdr:col>
      <xdr:colOff>1630680</xdr:colOff>
      <xdr:row>63</xdr:row>
      <xdr:rowOff>762000</xdr:rowOff>
    </xdr:to>
    <xdr:sp macro="" textlink="">
      <xdr:nvSpPr>
        <xdr:cNvPr id="86" name="Rounded Rectangle 85"/>
        <xdr:cNvSpPr>
          <a:spLocks/>
        </xdr:cNvSpPr>
      </xdr:nvSpPr>
      <xdr:spPr>
        <a:xfrm>
          <a:off x="9624060" y="19210020"/>
          <a:ext cx="4206240" cy="3383280"/>
        </a:xfrm>
        <a:prstGeom prst="roundRect">
          <a:avLst>
            <a:gd name="adj" fmla="val 7242"/>
          </a:avLst>
        </a:prstGeom>
        <a:solidFill>
          <a:schemeClr val="bg1"/>
        </a:solidFill>
        <a:ln w="25400" cmpd="sng">
          <a:solidFill>
            <a:schemeClr val="tx1">
              <a:lumMod val="75000"/>
              <a:lumOff val="2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1440" rtlCol="0" anchor="t"/>
        <a:lstStyle/>
        <a:p>
          <a:pPr algn="l"/>
          <a:r>
            <a:rPr lang="en-CA" sz="1400" b="1">
              <a:solidFill>
                <a:schemeClr val="tx1">
                  <a:lumMod val="75000"/>
                  <a:lumOff val="25000"/>
                </a:schemeClr>
              </a:solidFill>
              <a:latin typeface="Tw Cen MT" panose="020B0602020104020603" pitchFamily="34" charset="0"/>
            </a:rPr>
            <a:t>TECHNICAL</a:t>
          </a:r>
          <a:r>
            <a:rPr lang="en-CA" sz="1400" b="1" baseline="0">
              <a:solidFill>
                <a:schemeClr val="tx1">
                  <a:lumMod val="75000"/>
                  <a:lumOff val="25000"/>
                </a:schemeClr>
              </a:solidFill>
              <a:latin typeface="Tw Cen MT" panose="020B0602020104020603" pitchFamily="34" charset="0"/>
            </a:rPr>
            <a:t> INFORMATION</a:t>
          </a:r>
        </a:p>
        <a:p>
          <a:pPr algn="l"/>
          <a:endParaRPr lang="en-CA" sz="100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B - Monitor Arm</a:t>
          </a:r>
        </a:p>
        <a:p>
          <a:pPr algn="l"/>
          <a:r>
            <a:rPr lang="en-CA" sz="1000" b="0" baseline="0">
              <a:solidFill>
                <a:schemeClr val="tx1">
                  <a:lumMod val="75000"/>
                  <a:lumOff val="25000"/>
                </a:schemeClr>
              </a:solidFill>
              <a:latin typeface="+mj-lt"/>
            </a:rPr>
            <a:t>Single Monitor Arm recommended for Height Adjustable Work Surfaces 1219 mm (48 in.) or 1372 mm (54 in.) in length.</a:t>
          </a:r>
        </a:p>
        <a:p>
          <a:pPr algn="l"/>
          <a:endParaRPr lang="en-CA" sz="1000" b="0" baseline="0">
            <a:solidFill>
              <a:schemeClr val="tx1">
                <a:lumMod val="75000"/>
                <a:lumOff val="25000"/>
              </a:schemeClr>
            </a:solidFill>
            <a:latin typeface="+mj-lt"/>
          </a:endParaRPr>
        </a:p>
        <a:p>
          <a:pPr algn="l"/>
          <a:r>
            <a:rPr lang="en-CA" sz="1000" b="0" baseline="0">
              <a:solidFill>
                <a:schemeClr val="tx1">
                  <a:lumMod val="75000"/>
                  <a:lumOff val="25000"/>
                </a:schemeClr>
              </a:solidFill>
              <a:latin typeface="+mj-lt"/>
            </a:rPr>
            <a:t>Double Monitor Arm recommended for Height Adjustable Work Surfaces 1524 mm (60 in.), 1676 mm (66 in.) or 1829 mm (72 in.) in length.</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C - Power Module</a:t>
          </a:r>
        </a:p>
        <a:p>
          <a:pPr algn="l"/>
          <a:r>
            <a:rPr lang="en-CA" sz="1000" b="0" baseline="0">
              <a:solidFill>
                <a:schemeClr val="tx1">
                  <a:lumMod val="75000"/>
                  <a:lumOff val="25000"/>
                </a:schemeClr>
              </a:solidFill>
              <a:latin typeface="+mj-lt"/>
            </a:rPr>
            <a:t>For accessibility, a power source is recommended at (or near) the leading edge of the height adjustable work surface</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F - Storage Component</a:t>
          </a:r>
        </a:p>
        <a:p>
          <a:pPr algn="l"/>
          <a:r>
            <a:rPr lang="en-CA" sz="1000" b="0" baseline="0">
              <a:solidFill>
                <a:schemeClr val="tx1">
                  <a:lumMod val="75000"/>
                  <a:lumOff val="25000"/>
                </a:schemeClr>
              </a:solidFill>
              <a:latin typeface="+mj-lt"/>
            </a:rPr>
            <a:t>If locks are required, keyless (i.e. keypad) is recommended.</a:t>
          </a:r>
        </a:p>
        <a:p>
          <a:pPr algn="l"/>
          <a:endParaRPr lang="en-CA" sz="1100" b="1">
            <a:solidFill>
              <a:schemeClr val="tx1">
                <a:lumMod val="75000"/>
                <a:lumOff val="25000"/>
              </a:schemeClr>
            </a:solidFill>
            <a:latin typeface="+mj-lt"/>
          </a:endParaRPr>
        </a:p>
      </xdr:txBody>
    </xdr:sp>
    <xdr:clientData/>
  </xdr:twoCellAnchor>
  <xdr:twoCellAnchor>
    <xdr:from>
      <xdr:col>3</xdr:col>
      <xdr:colOff>213360</xdr:colOff>
      <xdr:row>4</xdr:row>
      <xdr:rowOff>883920</xdr:rowOff>
    </xdr:from>
    <xdr:to>
      <xdr:col>3</xdr:col>
      <xdr:colOff>441960</xdr:colOff>
      <xdr:row>5</xdr:row>
      <xdr:rowOff>198120</xdr:rowOff>
    </xdr:to>
    <xdr:sp macro="" textlink="">
      <xdr:nvSpPr>
        <xdr:cNvPr id="48" name="Oval 47"/>
        <xdr:cNvSpPr/>
      </xdr:nvSpPr>
      <xdr:spPr>
        <a:xfrm>
          <a:off x="1196340" y="239268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1</a:t>
          </a:r>
        </a:p>
      </xdr:txBody>
    </xdr:sp>
    <xdr:clientData/>
  </xdr:twoCellAnchor>
  <xdr:twoCellAnchor>
    <xdr:from>
      <xdr:col>6</xdr:col>
      <xdr:colOff>281940</xdr:colOff>
      <xdr:row>4</xdr:row>
      <xdr:rowOff>396240</xdr:rowOff>
    </xdr:from>
    <xdr:to>
      <xdr:col>6</xdr:col>
      <xdr:colOff>510540</xdr:colOff>
      <xdr:row>4</xdr:row>
      <xdr:rowOff>624840</xdr:rowOff>
    </xdr:to>
    <xdr:sp macro="" textlink="">
      <xdr:nvSpPr>
        <xdr:cNvPr id="50" name="Oval 49"/>
        <xdr:cNvSpPr/>
      </xdr:nvSpPr>
      <xdr:spPr>
        <a:xfrm>
          <a:off x="4030980" y="190500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2</a:t>
          </a:r>
        </a:p>
      </xdr:txBody>
    </xdr:sp>
    <xdr:clientData/>
  </xdr:twoCellAnchor>
  <xdr:twoCellAnchor>
    <xdr:from>
      <xdr:col>8</xdr:col>
      <xdr:colOff>121920</xdr:colOff>
      <xdr:row>4</xdr:row>
      <xdr:rowOff>815340</xdr:rowOff>
    </xdr:from>
    <xdr:to>
      <xdr:col>8</xdr:col>
      <xdr:colOff>350520</xdr:colOff>
      <xdr:row>5</xdr:row>
      <xdr:rowOff>129540</xdr:rowOff>
    </xdr:to>
    <xdr:sp macro="" textlink="">
      <xdr:nvSpPr>
        <xdr:cNvPr id="51" name="Oval 50"/>
        <xdr:cNvSpPr/>
      </xdr:nvSpPr>
      <xdr:spPr>
        <a:xfrm>
          <a:off x="6065520" y="232410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4</a:t>
          </a:r>
        </a:p>
      </xdr:txBody>
    </xdr:sp>
    <xdr:clientData/>
  </xdr:twoCellAnchor>
  <xdr:twoCellAnchor>
    <xdr:from>
      <xdr:col>6</xdr:col>
      <xdr:colOff>1043940</xdr:colOff>
      <xdr:row>4</xdr:row>
      <xdr:rowOff>495300</xdr:rowOff>
    </xdr:from>
    <xdr:to>
      <xdr:col>7</xdr:col>
      <xdr:colOff>175260</xdr:colOff>
      <xdr:row>4</xdr:row>
      <xdr:rowOff>723900</xdr:rowOff>
    </xdr:to>
    <xdr:sp macro="" textlink="">
      <xdr:nvSpPr>
        <xdr:cNvPr id="52" name="Oval 51"/>
        <xdr:cNvSpPr/>
      </xdr:nvSpPr>
      <xdr:spPr>
        <a:xfrm>
          <a:off x="4792980" y="200406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3</a:t>
          </a:r>
        </a:p>
      </xdr:txBody>
    </xdr:sp>
    <xdr:clientData/>
  </xdr:twoCellAnchor>
  <xdr:twoCellAnchor>
    <xdr:from>
      <xdr:col>3</xdr:col>
      <xdr:colOff>350520</xdr:colOff>
      <xdr:row>61</xdr:row>
      <xdr:rowOff>91440</xdr:rowOff>
    </xdr:from>
    <xdr:to>
      <xdr:col>3</xdr:col>
      <xdr:colOff>579120</xdr:colOff>
      <xdr:row>61</xdr:row>
      <xdr:rowOff>320040</xdr:rowOff>
    </xdr:to>
    <xdr:sp macro="" textlink="">
      <xdr:nvSpPr>
        <xdr:cNvPr id="53" name="Oval 52"/>
        <xdr:cNvSpPr/>
      </xdr:nvSpPr>
      <xdr:spPr>
        <a:xfrm>
          <a:off x="1333500" y="2009394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1</a:t>
          </a:r>
        </a:p>
      </xdr:txBody>
    </xdr:sp>
    <xdr:clientData/>
  </xdr:twoCellAnchor>
  <xdr:twoCellAnchor>
    <xdr:from>
      <xdr:col>3</xdr:col>
      <xdr:colOff>0</xdr:colOff>
      <xdr:row>129</xdr:row>
      <xdr:rowOff>121920</xdr:rowOff>
    </xdr:from>
    <xdr:to>
      <xdr:col>9</xdr:col>
      <xdr:colOff>593629</xdr:colOff>
      <xdr:row>132</xdr:row>
      <xdr:rowOff>762000</xdr:rowOff>
    </xdr:to>
    <xdr:sp macro="" textlink="">
      <xdr:nvSpPr>
        <xdr:cNvPr id="54" name="Rounded Rectangle 53"/>
        <xdr:cNvSpPr>
          <a:spLocks noChangeAspect="1"/>
        </xdr:cNvSpPr>
      </xdr:nvSpPr>
      <xdr:spPr>
        <a:xfrm>
          <a:off x="982980" y="44333160"/>
          <a:ext cx="6651529" cy="3383280"/>
        </a:xfrm>
        <a:prstGeom prst="roundRect">
          <a:avLst>
            <a:gd name="adj" fmla="val 8334"/>
          </a:avLst>
        </a:prstGeom>
        <a:blipFill>
          <a:blip xmlns:r="http://schemas.openxmlformats.org/officeDocument/2006/relationships" r:embed="rId7"/>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464820</xdr:colOff>
      <xdr:row>130</xdr:row>
      <xdr:rowOff>129540</xdr:rowOff>
    </xdr:from>
    <xdr:to>
      <xdr:col>3</xdr:col>
      <xdr:colOff>693420</xdr:colOff>
      <xdr:row>130</xdr:row>
      <xdr:rowOff>358140</xdr:rowOff>
    </xdr:to>
    <xdr:sp macro="" textlink="">
      <xdr:nvSpPr>
        <xdr:cNvPr id="55" name="Oval 54"/>
        <xdr:cNvSpPr/>
      </xdr:nvSpPr>
      <xdr:spPr>
        <a:xfrm>
          <a:off x="1447800" y="3979164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1</a:t>
          </a:r>
        </a:p>
      </xdr:txBody>
    </xdr:sp>
    <xdr:clientData/>
  </xdr:twoCellAnchor>
  <xdr:twoCellAnchor>
    <xdr:from>
      <xdr:col>6</xdr:col>
      <xdr:colOff>952500</xdr:colOff>
      <xdr:row>129</xdr:row>
      <xdr:rowOff>510540</xdr:rowOff>
    </xdr:from>
    <xdr:to>
      <xdr:col>7</xdr:col>
      <xdr:colOff>83820</xdr:colOff>
      <xdr:row>129</xdr:row>
      <xdr:rowOff>739140</xdr:rowOff>
    </xdr:to>
    <xdr:sp macro="" textlink="">
      <xdr:nvSpPr>
        <xdr:cNvPr id="56" name="Oval 55"/>
        <xdr:cNvSpPr/>
      </xdr:nvSpPr>
      <xdr:spPr>
        <a:xfrm>
          <a:off x="4701540" y="3925824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2</a:t>
          </a:r>
        </a:p>
      </xdr:txBody>
    </xdr:sp>
    <xdr:clientData/>
  </xdr:twoCellAnchor>
  <xdr:twoCellAnchor>
    <xdr:from>
      <xdr:col>8</xdr:col>
      <xdr:colOff>579120</xdr:colOff>
      <xdr:row>129</xdr:row>
      <xdr:rowOff>480060</xdr:rowOff>
    </xdr:from>
    <xdr:to>
      <xdr:col>8</xdr:col>
      <xdr:colOff>807720</xdr:colOff>
      <xdr:row>129</xdr:row>
      <xdr:rowOff>708660</xdr:rowOff>
    </xdr:to>
    <xdr:sp macro="" textlink="">
      <xdr:nvSpPr>
        <xdr:cNvPr id="57" name="Oval 56"/>
        <xdr:cNvSpPr/>
      </xdr:nvSpPr>
      <xdr:spPr>
        <a:xfrm>
          <a:off x="6522720" y="3922776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3</a:t>
          </a:r>
        </a:p>
      </xdr:txBody>
    </xdr:sp>
    <xdr:clientData/>
  </xdr:twoCellAnchor>
  <xdr:twoCellAnchor>
    <xdr:from>
      <xdr:col>2</xdr:col>
      <xdr:colOff>0</xdr:colOff>
      <xdr:row>130</xdr:row>
      <xdr:rowOff>327660</xdr:rowOff>
    </xdr:from>
    <xdr:to>
      <xdr:col>3</xdr:col>
      <xdr:colOff>60960</xdr:colOff>
      <xdr:row>130</xdr:row>
      <xdr:rowOff>784860</xdr:rowOff>
    </xdr:to>
    <xdr:sp macro="" textlink="">
      <xdr:nvSpPr>
        <xdr:cNvPr id="59" name="Oval 58"/>
        <xdr:cNvSpPr/>
      </xdr:nvSpPr>
      <xdr:spPr>
        <a:xfrm>
          <a:off x="586740" y="399897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129</xdr:row>
      <xdr:rowOff>571500</xdr:rowOff>
    </xdr:from>
    <xdr:to>
      <xdr:col>3</xdr:col>
      <xdr:colOff>60960</xdr:colOff>
      <xdr:row>130</xdr:row>
      <xdr:rowOff>114300</xdr:rowOff>
    </xdr:to>
    <xdr:sp macro="" textlink="">
      <xdr:nvSpPr>
        <xdr:cNvPr id="60" name="Oval 59"/>
        <xdr:cNvSpPr/>
      </xdr:nvSpPr>
      <xdr:spPr>
        <a:xfrm>
          <a:off x="586740" y="393192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131</xdr:row>
      <xdr:rowOff>99060</xdr:rowOff>
    </xdr:from>
    <xdr:to>
      <xdr:col>3</xdr:col>
      <xdr:colOff>60960</xdr:colOff>
      <xdr:row>131</xdr:row>
      <xdr:rowOff>556260</xdr:rowOff>
    </xdr:to>
    <xdr:sp macro="" textlink="">
      <xdr:nvSpPr>
        <xdr:cNvPr id="63" name="Oval 62"/>
        <xdr:cNvSpPr/>
      </xdr:nvSpPr>
      <xdr:spPr>
        <a:xfrm>
          <a:off x="586740" y="406755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131</xdr:row>
      <xdr:rowOff>15240</xdr:rowOff>
    </xdr:from>
    <xdr:to>
      <xdr:col>6</xdr:col>
      <xdr:colOff>762000</xdr:colOff>
      <xdr:row>132</xdr:row>
      <xdr:rowOff>121920</xdr:rowOff>
    </xdr:to>
    <xdr:cxnSp macro="">
      <xdr:nvCxnSpPr>
        <xdr:cNvPr id="65" name="Elbow Connector 64"/>
        <xdr:cNvCxnSpPr>
          <a:stCxn id="88" idx="6"/>
        </xdr:cNvCxnSpPr>
      </xdr:nvCxnSpPr>
      <xdr:spPr>
        <a:xfrm flipV="1">
          <a:off x="1043940" y="40591740"/>
          <a:ext cx="3467100" cy="1021080"/>
        </a:xfrm>
        <a:prstGeom prst="bentConnector3">
          <a:avLst>
            <a:gd name="adj1" fmla="val 6582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502920</xdr:colOff>
      <xdr:row>130</xdr:row>
      <xdr:rowOff>327660</xdr:rowOff>
    </xdr:from>
    <xdr:to>
      <xdr:col>9</xdr:col>
      <xdr:colOff>960120</xdr:colOff>
      <xdr:row>130</xdr:row>
      <xdr:rowOff>784860</xdr:rowOff>
    </xdr:to>
    <xdr:sp macro="" textlink="">
      <xdr:nvSpPr>
        <xdr:cNvPr id="66" name="Oval 65"/>
        <xdr:cNvSpPr/>
      </xdr:nvSpPr>
      <xdr:spPr>
        <a:xfrm>
          <a:off x="7543800" y="399897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9</xdr:col>
      <xdr:colOff>502920</xdr:colOff>
      <xdr:row>129</xdr:row>
      <xdr:rowOff>571500</xdr:rowOff>
    </xdr:from>
    <xdr:to>
      <xdr:col>9</xdr:col>
      <xdr:colOff>960120</xdr:colOff>
      <xdr:row>130</xdr:row>
      <xdr:rowOff>114300</xdr:rowOff>
    </xdr:to>
    <xdr:sp macro="" textlink="">
      <xdr:nvSpPr>
        <xdr:cNvPr id="67" name="Oval 66"/>
        <xdr:cNvSpPr/>
      </xdr:nvSpPr>
      <xdr:spPr>
        <a:xfrm>
          <a:off x="7543800" y="393192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9</xdr:col>
      <xdr:colOff>502920</xdr:colOff>
      <xdr:row>131</xdr:row>
      <xdr:rowOff>99060</xdr:rowOff>
    </xdr:from>
    <xdr:to>
      <xdr:col>9</xdr:col>
      <xdr:colOff>960120</xdr:colOff>
      <xdr:row>131</xdr:row>
      <xdr:rowOff>556260</xdr:rowOff>
    </xdr:to>
    <xdr:sp macro="" textlink="">
      <xdr:nvSpPr>
        <xdr:cNvPr id="68" name="Oval 67"/>
        <xdr:cNvSpPr/>
      </xdr:nvSpPr>
      <xdr:spPr>
        <a:xfrm>
          <a:off x="7543800" y="406755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8</xdr:col>
      <xdr:colOff>198120</xdr:colOff>
      <xdr:row>130</xdr:row>
      <xdr:rowOff>259080</xdr:rowOff>
    </xdr:from>
    <xdr:to>
      <xdr:col>9</xdr:col>
      <xdr:colOff>502920</xdr:colOff>
      <xdr:row>130</xdr:row>
      <xdr:rowOff>556260</xdr:rowOff>
    </xdr:to>
    <xdr:cxnSp macro="">
      <xdr:nvCxnSpPr>
        <xdr:cNvPr id="69" name="Elbow Connector 68"/>
        <xdr:cNvCxnSpPr>
          <a:stCxn id="66" idx="2"/>
        </xdr:cNvCxnSpPr>
      </xdr:nvCxnSpPr>
      <xdr:spPr>
        <a:xfrm rot="10800000">
          <a:off x="6141720" y="39921180"/>
          <a:ext cx="1402080" cy="297180"/>
        </a:xfrm>
        <a:prstGeom prst="bentConnector3">
          <a:avLst>
            <a:gd name="adj1" fmla="val 9945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129</xdr:row>
      <xdr:rowOff>800100</xdr:rowOff>
    </xdr:from>
    <xdr:to>
      <xdr:col>6</xdr:col>
      <xdr:colOff>15240</xdr:colOff>
      <xdr:row>130</xdr:row>
      <xdr:rowOff>381000</xdr:rowOff>
    </xdr:to>
    <xdr:cxnSp macro="">
      <xdr:nvCxnSpPr>
        <xdr:cNvPr id="71" name="Elbow Connector 70"/>
        <xdr:cNvCxnSpPr>
          <a:stCxn id="60" idx="6"/>
        </xdr:cNvCxnSpPr>
      </xdr:nvCxnSpPr>
      <xdr:spPr>
        <a:xfrm>
          <a:off x="1043940" y="39547800"/>
          <a:ext cx="2720340" cy="495300"/>
        </a:xfrm>
        <a:prstGeom prst="bentConnector3">
          <a:avLst>
            <a:gd name="adj1" fmla="val 9986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130</xdr:row>
      <xdr:rowOff>297180</xdr:rowOff>
    </xdr:from>
    <xdr:to>
      <xdr:col>4</xdr:col>
      <xdr:colOff>236220</xdr:colOff>
      <xdr:row>130</xdr:row>
      <xdr:rowOff>556260</xdr:rowOff>
    </xdr:to>
    <xdr:cxnSp macro="">
      <xdr:nvCxnSpPr>
        <xdr:cNvPr id="72" name="Elbow Connector 71"/>
        <xdr:cNvCxnSpPr>
          <a:stCxn id="59" idx="6"/>
        </xdr:cNvCxnSpPr>
      </xdr:nvCxnSpPr>
      <xdr:spPr>
        <a:xfrm flipV="1">
          <a:off x="1043940" y="39959280"/>
          <a:ext cx="2148840" cy="259080"/>
        </a:xfrm>
        <a:prstGeom prst="bentConnector3">
          <a:avLst>
            <a:gd name="adj1" fmla="val 10035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662940</xdr:colOff>
      <xdr:row>129</xdr:row>
      <xdr:rowOff>800100</xdr:rowOff>
    </xdr:from>
    <xdr:to>
      <xdr:col>9</xdr:col>
      <xdr:colOff>502920</xdr:colOff>
      <xdr:row>130</xdr:row>
      <xdr:rowOff>274320</xdr:rowOff>
    </xdr:to>
    <xdr:cxnSp macro="">
      <xdr:nvCxnSpPr>
        <xdr:cNvPr id="73" name="Elbow Connector 72"/>
        <xdr:cNvCxnSpPr>
          <a:stCxn id="67" idx="2"/>
        </xdr:cNvCxnSpPr>
      </xdr:nvCxnSpPr>
      <xdr:spPr>
        <a:xfrm rot="10800000" flipV="1">
          <a:off x="4411980" y="39547800"/>
          <a:ext cx="3131820" cy="388620"/>
        </a:xfrm>
        <a:prstGeom prst="bentConnector3">
          <a:avLst>
            <a:gd name="adj1" fmla="val 7798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1767840</xdr:colOff>
      <xdr:row>131</xdr:row>
      <xdr:rowOff>327660</xdr:rowOff>
    </xdr:from>
    <xdr:to>
      <xdr:col>9</xdr:col>
      <xdr:colOff>502920</xdr:colOff>
      <xdr:row>132</xdr:row>
      <xdr:rowOff>236220</xdr:rowOff>
    </xdr:to>
    <xdr:cxnSp macro="">
      <xdr:nvCxnSpPr>
        <xdr:cNvPr id="84" name="Elbow Connector 83"/>
        <xdr:cNvCxnSpPr>
          <a:stCxn id="68" idx="2"/>
        </xdr:cNvCxnSpPr>
      </xdr:nvCxnSpPr>
      <xdr:spPr>
        <a:xfrm rot="10800000" flipV="1">
          <a:off x="2750820" y="40904160"/>
          <a:ext cx="4792980" cy="822960"/>
        </a:xfrm>
        <a:prstGeom prst="bentConnector3">
          <a:avLst>
            <a:gd name="adj1" fmla="val 4046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131</xdr:row>
      <xdr:rowOff>807720</xdr:rowOff>
    </xdr:from>
    <xdr:to>
      <xdr:col>3</xdr:col>
      <xdr:colOff>60960</xdr:colOff>
      <xdr:row>132</xdr:row>
      <xdr:rowOff>350520</xdr:rowOff>
    </xdr:to>
    <xdr:sp macro="" textlink="">
      <xdr:nvSpPr>
        <xdr:cNvPr id="88" name="Oval 87"/>
        <xdr:cNvSpPr/>
      </xdr:nvSpPr>
      <xdr:spPr>
        <a:xfrm>
          <a:off x="586740" y="413842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3</xdr:col>
      <xdr:colOff>60960</xdr:colOff>
      <xdr:row>131</xdr:row>
      <xdr:rowOff>320040</xdr:rowOff>
    </xdr:from>
    <xdr:to>
      <xdr:col>3</xdr:col>
      <xdr:colOff>1798320</xdr:colOff>
      <xdr:row>131</xdr:row>
      <xdr:rowOff>327660</xdr:rowOff>
    </xdr:to>
    <xdr:cxnSp macro="">
      <xdr:nvCxnSpPr>
        <xdr:cNvPr id="94" name="Elbow Connector 93"/>
        <xdr:cNvCxnSpPr>
          <a:stCxn id="63" idx="6"/>
        </xdr:cNvCxnSpPr>
      </xdr:nvCxnSpPr>
      <xdr:spPr>
        <a:xfrm flipV="1">
          <a:off x="1043940" y="40896540"/>
          <a:ext cx="1737360" cy="762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82</xdr:row>
      <xdr:rowOff>121920</xdr:rowOff>
    </xdr:from>
    <xdr:to>
      <xdr:col>7</xdr:col>
      <xdr:colOff>859722</xdr:colOff>
      <xdr:row>85</xdr:row>
      <xdr:rowOff>762000</xdr:rowOff>
    </xdr:to>
    <xdr:sp macro="" textlink="">
      <xdr:nvSpPr>
        <xdr:cNvPr id="99" name="Rounded Rectangle 98"/>
        <xdr:cNvSpPr>
          <a:spLocks noChangeAspect="1"/>
        </xdr:cNvSpPr>
      </xdr:nvSpPr>
      <xdr:spPr>
        <a:xfrm>
          <a:off x="982980" y="29016960"/>
          <a:ext cx="4723062" cy="3383280"/>
        </a:xfrm>
        <a:prstGeom prst="roundRect">
          <a:avLst>
            <a:gd name="adj" fmla="val 8559"/>
          </a:avLst>
        </a:prstGeom>
        <a:blipFill>
          <a:blip xmlns:r="http://schemas.openxmlformats.org/officeDocument/2006/relationships" r:embed="rId8"/>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495300</xdr:colOff>
      <xdr:row>82</xdr:row>
      <xdr:rowOff>899160</xdr:rowOff>
    </xdr:from>
    <xdr:to>
      <xdr:col>3</xdr:col>
      <xdr:colOff>723900</xdr:colOff>
      <xdr:row>83</xdr:row>
      <xdr:rowOff>213360</xdr:rowOff>
    </xdr:to>
    <xdr:sp macro="" textlink="">
      <xdr:nvSpPr>
        <xdr:cNvPr id="104" name="Oval 103"/>
        <xdr:cNvSpPr/>
      </xdr:nvSpPr>
      <xdr:spPr>
        <a:xfrm>
          <a:off x="1478280" y="2979420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1</a:t>
          </a:r>
        </a:p>
      </xdr:txBody>
    </xdr:sp>
    <xdr:clientData/>
  </xdr:twoCellAnchor>
  <xdr:twoCellAnchor>
    <xdr:from>
      <xdr:col>6</xdr:col>
      <xdr:colOff>1066800</xdr:colOff>
      <xdr:row>82</xdr:row>
      <xdr:rowOff>563880</xdr:rowOff>
    </xdr:from>
    <xdr:to>
      <xdr:col>7</xdr:col>
      <xdr:colOff>198120</xdr:colOff>
      <xdr:row>82</xdr:row>
      <xdr:rowOff>792480</xdr:rowOff>
    </xdr:to>
    <xdr:sp macro="" textlink="">
      <xdr:nvSpPr>
        <xdr:cNvPr id="105" name="Oval 104"/>
        <xdr:cNvSpPr/>
      </xdr:nvSpPr>
      <xdr:spPr>
        <a:xfrm>
          <a:off x="4815840" y="29458920"/>
          <a:ext cx="228600" cy="2286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400" b="1">
              <a:solidFill>
                <a:schemeClr val="tx1">
                  <a:lumMod val="75000"/>
                  <a:lumOff val="25000"/>
                </a:schemeClr>
              </a:solidFill>
              <a:latin typeface="Tw Cen MT" panose="020B0602020104020603" pitchFamily="34" charset="0"/>
            </a:rPr>
            <a:t>2</a:t>
          </a:r>
        </a:p>
      </xdr:txBody>
    </xdr:sp>
    <xdr:clientData/>
  </xdr:twoCellAnchor>
  <xdr:twoCellAnchor>
    <xdr:from>
      <xdr:col>2</xdr:col>
      <xdr:colOff>0</xdr:colOff>
      <xdr:row>83</xdr:row>
      <xdr:rowOff>327660</xdr:rowOff>
    </xdr:from>
    <xdr:to>
      <xdr:col>3</xdr:col>
      <xdr:colOff>60960</xdr:colOff>
      <xdr:row>83</xdr:row>
      <xdr:rowOff>784860</xdr:rowOff>
    </xdr:to>
    <xdr:sp macro="" textlink="">
      <xdr:nvSpPr>
        <xdr:cNvPr id="106" name="Oval 105"/>
        <xdr:cNvSpPr/>
      </xdr:nvSpPr>
      <xdr:spPr>
        <a:xfrm>
          <a:off x="586740" y="301371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82</xdr:row>
      <xdr:rowOff>571500</xdr:rowOff>
    </xdr:from>
    <xdr:to>
      <xdr:col>3</xdr:col>
      <xdr:colOff>60960</xdr:colOff>
      <xdr:row>83</xdr:row>
      <xdr:rowOff>114300</xdr:rowOff>
    </xdr:to>
    <xdr:sp macro="" textlink="">
      <xdr:nvSpPr>
        <xdr:cNvPr id="107" name="Oval 106"/>
        <xdr:cNvSpPr/>
      </xdr:nvSpPr>
      <xdr:spPr>
        <a:xfrm>
          <a:off x="586740" y="294665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84</xdr:row>
      <xdr:rowOff>99060</xdr:rowOff>
    </xdr:from>
    <xdr:to>
      <xdr:col>3</xdr:col>
      <xdr:colOff>60960</xdr:colOff>
      <xdr:row>84</xdr:row>
      <xdr:rowOff>556260</xdr:rowOff>
    </xdr:to>
    <xdr:sp macro="" textlink="">
      <xdr:nvSpPr>
        <xdr:cNvPr id="108" name="Oval 107"/>
        <xdr:cNvSpPr/>
      </xdr:nvSpPr>
      <xdr:spPr>
        <a:xfrm>
          <a:off x="586740" y="308229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7</xdr:col>
      <xdr:colOff>777240</xdr:colOff>
      <xdr:row>83</xdr:row>
      <xdr:rowOff>327660</xdr:rowOff>
    </xdr:from>
    <xdr:to>
      <xdr:col>8</xdr:col>
      <xdr:colOff>137160</xdr:colOff>
      <xdr:row>83</xdr:row>
      <xdr:rowOff>784860</xdr:rowOff>
    </xdr:to>
    <xdr:sp macro="" textlink="">
      <xdr:nvSpPr>
        <xdr:cNvPr id="109" name="Oval 108"/>
        <xdr:cNvSpPr/>
      </xdr:nvSpPr>
      <xdr:spPr>
        <a:xfrm>
          <a:off x="5623560" y="301371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7</xdr:col>
      <xdr:colOff>777240</xdr:colOff>
      <xdr:row>82</xdr:row>
      <xdr:rowOff>571500</xdr:rowOff>
    </xdr:from>
    <xdr:to>
      <xdr:col>8</xdr:col>
      <xdr:colOff>137160</xdr:colOff>
      <xdr:row>83</xdr:row>
      <xdr:rowOff>114300</xdr:rowOff>
    </xdr:to>
    <xdr:sp macro="" textlink="">
      <xdr:nvSpPr>
        <xdr:cNvPr id="110" name="Oval 109"/>
        <xdr:cNvSpPr/>
      </xdr:nvSpPr>
      <xdr:spPr>
        <a:xfrm>
          <a:off x="5623560" y="294665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2</xdr:col>
      <xdr:colOff>0</xdr:colOff>
      <xdr:row>84</xdr:row>
      <xdr:rowOff>807720</xdr:rowOff>
    </xdr:from>
    <xdr:to>
      <xdr:col>3</xdr:col>
      <xdr:colOff>60960</xdr:colOff>
      <xdr:row>85</xdr:row>
      <xdr:rowOff>350520</xdr:rowOff>
    </xdr:to>
    <xdr:sp macro="" textlink="">
      <xdr:nvSpPr>
        <xdr:cNvPr id="111" name="Oval 110"/>
        <xdr:cNvSpPr/>
      </xdr:nvSpPr>
      <xdr:spPr>
        <a:xfrm>
          <a:off x="586740" y="315315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6</xdr:col>
      <xdr:colOff>746760</xdr:colOff>
      <xdr:row>82</xdr:row>
      <xdr:rowOff>800100</xdr:rowOff>
    </xdr:from>
    <xdr:to>
      <xdr:col>7</xdr:col>
      <xdr:colOff>777240</xdr:colOff>
      <xdr:row>83</xdr:row>
      <xdr:rowOff>281940</xdr:rowOff>
    </xdr:to>
    <xdr:cxnSp macro="">
      <xdr:nvCxnSpPr>
        <xdr:cNvPr id="112" name="Elbow Connector 111"/>
        <xdr:cNvCxnSpPr>
          <a:stCxn id="110" idx="2"/>
        </xdr:cNvCxnSpPr>
      </xdr:nvCxnSpPr>
      <xdr:spPr>
        <a:xfrm rot="10800000" flipV="1">
          <a:off x="4495800" y="29695140"/>
          <a:ext cx="1127760" cy="396240"/>
        </a:xfrm>
        <a:prstGeom prst="bentConnector3">
          <a:avLst>
            <a:gd name="adj1" fmla="val 2837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1722120</xdr:colOff>
      <xdr:row>83</xdr:row>
      <xdr:rowOff>556260</xdr:rowOff>
    </xdr:from>
    <xdr:to>
      <xdr:col>7</xdr:col>
      <xdr:colOff>777240</xdr:colOff>
      <xdr:row>85</xdr:row>
      <xdr:rowOff>220980</xdr:rowOff>
    </xdr:to>
    <xdr:cxnSp macro="">
      <xdr:nvCxnSpPr>
        <xdr:cNvPr id="113" name="Elbow Connector 112"/>
        <xdr:cNvCxnSpPr>
          <a:stCxn id="109" idx="2"/>
        </xdr:cNvCxnSpPr>
      </xdr:nvCxnSpPr>
      <xdr:spPr>
        <a:xfrm rot="10800000" flipV="1">
          <a:off x="2705100" y="30365700"/>
          <a:ext cx="2918460" cy="1493520"/>
        </a:xfrm>
        <a:prstGeom prst="bentConnector3">
          <a:avLst>
            <a:gd name="adj1" fmla="val 1292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83</xdr:row>
      <xdr:rowOff>243840</xdr:rowOff>
    </xdr:from>
    <xdr:to>
      <xdr:col>4</xdr:col>
      <xdr:colOff>281940</xdr:colOff>
      <xdr:row>83</xdr:row>
      <xdr:rowOff>556260</xdr:rowOff>
    </xdr:to>
    <xdr:cxnSp macro="">
      <xdr:nvCxnSpPr>
        <xdr:cNvPr id="121" name="Elbow Connector 120"/>
        <xdr:cNvCxnSpPr>
          <a:stCxn id="106" idx="6"/>
        </xdr:cNvCxnSpPr>
      </xdr:nvCxnSpPr>
      <xdr:spPr>
        <a:xfrm flipV="1">
          <a:off x="1043940" y="30053280"/>
          <a:ext cx="2194560" cy="312420"/>
        </a:xfrm>
        <a:prstGeom prst="bentConnector3">
          <a:avLst>
            <a:gd name="adj1" fmla="val 10034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84</xdr:row>
      <xdr:rowOff>0</xdr:rowOff>
    </xdr:from>
    <xdr:to>
      <xdr:col>6</xdr:col>
      <xdr:colOff>822960</xdr:colOff>
      <xdr:row>85</xdr:row>
      <xdr:rowOff>121920</xdr:rowOff>
    </xdr:to>
    <xdr:cxnSp macro="">
      <xdr:nvCxnSpPr>
        <xdr:cNvPr id="122" name="Elbow Connector 121"/>
        <xdr:cNvCxnSpPr>
          <a:stCxn id="111" idx="6"/>
        </xdr:cNvCxnSpPr>
      </xdr:nvCxnSpPr>
      <xdr:spPr>
        <a:xfrm flipV="1">
          <a:off x="1043940" y="30723840"/>
          <a:ext cx="3528060" cy="1036320"/>
        </a:xfrm>
        <a:prstGeom prst="bentConnector3">
          <a:avLst>
            <a:gd name="adj1" fmla="val 6987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84</xdr:row>
      <xdr:rowOff>266700</xdr:rowOff>
    </xdr:from>
    <xdr:to>
      <xdr:col>3</xdr:col>
      <xdr:colOff>1790700</xdr:colOff>
      <xdr:row>84</xdr:row>
      <xdr:rowOff>327660</xdr:rowOff>
    </xdr:to>
    <xdr:cxnSp macro="">
      <xdr:nvCxnSpPr>
        <xdr:cNvPr id="123" name="Elbow Connector 122"/>
        <xdr:cNvCxnSpPr>
          <a:stCxn id="108" idx="6"/>
        </xdr:cNvCxnSpPr>
      </xdr:nvCxnSpPr>
      <xdr:spPr>
        <a:xfrm flipV="1">
          <a:off x="1043940" y="30990540"/>
          <a:ext cx="1729740" cy="60960"/>
        </a:xfrm>
        <a:prstGeom prst="bentConnector3">
          <a:avLst>
            <a:gd name="adj1" fmla="val 53965"/>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82</xdr:row>
      <xdr:rowOff>800100</xdr:rowOff>
    </xdr:from>
    <xdr:to>
      <xdr:col>6</xdr:col>
      <xdr:colOff>266700</xdr:colOff>
      <xdr:row>83</xdr:row>
      <xdr:rowOff>419100</xdr:rowOff>
    </xdr:to>
    <xdr:cxnSp macro="">
      <xdr:nvCxnSpPr>
        <xdr:cNvPr id="124" name="Elbow Connector 123"/>
        <xdr:cNvCxnSpPr>
          <a:stCxn id="107" idx="6"/>
        </xdr:cNvCxnSpPr>
      </xdr:nvCxnSpPr>
      <xdr:spPr>
        <a:xfrm>
          <a:off x="1043940" y="29695140"/>
          <a:ext cx="2971800" cy="533400"/>
        </a:xfrm>
        <a:prstGeom prst="bentConnector3">
          <a:avLst>
            <a:gd name="adj1" fmla="val 9974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699531</xdr:colOff>
      <xdr:row>82</xdr:row>
      <xdr:rowOff>640080</xdr:rowOff>
    </xdr:from>
    <xdr:to>
      <xdr:col>10</xdr:col>
      <xdr:colOff>826927</xdr:colOff>
      <xdr:row>85</xdr:row>
      <xdr:rowOff>640080</xdr:rowOff>
    </xdr:to>
    <xdr:pic>
      <xdr:nvPicPr>
        <xdr:cNvPr id="145" name="Picture 144"/>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val="0"/>
            </a:ext>
          </a:extLst>
        </a:blip>
        <a:stretch>
          <a:fillRect/>
        </a:stretch>
      </xdr:blipFill>
      <xdr:spPr>
        <a:xfrm>
          <a:off x="6643131" y="29535120"/>
          <a:ext cx="3632596" cy="2743200"/>
        </a:xfrm>
        <a:prstGeom prst="rect">
          <a:avLst/>
        </a:prstGeom>
      </xdr:spPr>
    </xdr:pic>
    <xdr:clientData/>
  </xdr:twoCellAnchor>
  <xdr:twoCellAnchor>
    <xdr:from>
      <xdr:col>8</xdr:col>
      <xdr:colOff>274320</xdr:colOff>
      <xdr:row>82</xdr:row>
      <xdr:rowOff>121920</xdr:rowOff>
    </xdr:from>
    <xdr:to>
      <xdr:col>10</xdr:col>
      <xdr:colOff>1252138</xdr:colOff>
      <xdr:row>85</xdr:row>
      <xdr:rowOff>762000</xdr:rowOff>
    </xdr:to>
    <xdr:sp macro="" textlink="">
      <xdr:nvSpPr>
        <xdr:cNvPr id="146" name="Rounded Rectangle 145"/>
        <xdr:cNvSpPr>
          <a:spLocks noChangeAspect="1"/>
        </xdr:cNvSpPr>
      </xdr:nvSpPr>
      <xdr:spPr>
        <a:xfrm>
          <a:off x="6217920" y="29016960"/>
          <a:ext cx="4483018" cy="3383280"/>
        </a:xfrm>
        <a:prstGeom prst="roundRect">
          <a:avLst>
            <a:gd name="adj" fmla="val 8108"/>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tIns="91440" rIns="91440" bIns="91440" rtlCol="0" anchor="t"/>
        <a:lstStyle/>
        <a:p>
          <a:pPr algn="l"/>
          <a:r>
            <a:rPr lang="en-CA" sz="1600" b="1">
              <a:solidFill>
                <a:srgbClr val="50C08B"/>
              </a:solidFill>
              <a:latin typeface="Tw Cen MT" panose="020B0602020104020603" pitchFamily="34" charset="0"/>
            </a:rPr>
            <a:t>PLAN VIEW</a:t>
          </a:r>
        </a:p>
      </xdr:txBody>
    </xdr:sp>
    <xdr:clientData/>
  </xdr:twoCellAnchor>
  <xdr:twoCellAnchor editAs="absolute">
    <xdr:from>
      <xdr:col>3</xdr:col>
      <xdr:colOff>0</xdr:colOff>
      <xdr:row>101</xdr:row>
      <xdr:rowOff>0</xdr:rowOff>
    </xdr:from>
    <xdr:to>
      <xdr:col>7</xdr:col>
      <xdr:colOff>685800</xdr:colOff>
      <xdr:row>121</xdr:row>
      <xdr:rowOff>0</xdr:rowOff>
    </xdr:to>
    <xdr:sp macro="" textlink="">
      <xdr:nvSpPr>
        <xdr:cNvPr id="148" name="Rounded Rectangle 147"/>
        <xdr:cNvSpPr>
          <a:spLocks/>
        </xdr:cNvSpPr>
      </xdr:nvSpPr>
      <xdr:spPr>
        <a:xfrm>
          <a:off x="982980" y="37216080"/>
          <a:ext cx="4549140" cy="4572000"/>
        </a:xfrm>
        <a:prstGeom prst="roundRect">
          <a:avLst>
            <a:gd name="adj" fmla="val 7242"/>
          </a:avLst>
        </a:prstGeom>
        <a:solidFill>
          <a:schemeClr val="bg1"/>
        </a:solidFill>
        <a:ln w="25400" cmpd="sng">
          <a:solidFill>
            <a:schemeClr val="tx1">
              <a:lumMod val="75000"/>
              <a:lumOff val="2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1440" rtlCol="0" anchor="t"/>
        <a:lstStyle/>
        <a:p>
          <a:pPr algn="l"/>
          <a:r>
            <a:rPr lang="en-CA" sz="1400" b="1">
              <a:solidFill>
                <a:schemeClr val="tx1">
                  <a:lumMod val="75000"/>
                  <a:lumOff val="25000"/>
                </a:schemeClr>
              </a:solidFill>
              <a:latin typeface="Tw Cen MT" panose="020B0602020104020603" pitchFamily="34" charset="0"/>
            </a:rPr>
            <a:t>TECHNICAL</a:t>
          </a:r>
          <a:r>
            <a:rPr lang="en-CA" sz="1400" b="1" baseline="0">
              <a:solidFill>
                <a:schemeClr val="tx1">
                  <a:lumMod val="75000"/>
                  <a:lumOff val="25000"/>
                </a:schemeClr>
              </a:solidFill>
              <a:latin typeface="Tw Cen MT" panose="020B0602020104020603" pitchFamily="34" charset="0"/>
            </a:rPr>
            <a:t> INFORMATION</a:t>
          </a:r>
        </a:p>
        <a:p>
          <a:pPr algn="l"/>
          <a:endParaRPr lang="en-CA" sz="1000">
            <a:solidFill>
              <a:schemeClr val="tx1">
                <a:lumMod val="75000"/>
                <a:lumOff val="25000"/>
              </a:schemeClr>
            </a:solidFill>
            <a:latin typeface="+mj-lt"/>
          </a:endParaRPr>
        </a:p>
        <a:p>
          <a:pPr algn="l"/>
          <a:r>
            <a:rPr lang="en-CA" sz="1000" b="1">
              <a:solidFill>
                <a:schemeClr val="tx1">
                  <a:lumMod val="75000"/>
                  <a:lumOff val="25000"/>
                </a:schemeClr>
              </a:solidFill>
              <a:latin typeface="+mj-lt"/>
            </a:rPr>
            <a:t>1 &amp; 2 - Base Height Panel with</a:t>
          </a:r>
          <a:r>
            <a:rPr lang="en-CA" sz="1000" b="1" baseline="0">
              <a:solidFill>
                <a:schemeClr val="tx1">
                  <a:lumMod val="75000"/>
                  <a:lumOff val="25000"/>
                </a:schemeClr>
              </a:solidFill>
              <a:latin typeface="+mj-lt"/>
            </a:rPr>
            <a:t> Panel Add-On Module</a:t>
          </a:r>
        </a:p>
        <a:p>
          <a:pPr algn="l"/>
          <a:r>
            <a:rPr lang="en-CA" sz="1000" b="0" baseline="0">
              <a:solidFill>
                <a:schemeClr val="tx1">
                  <a:lumMod val="75000"/>
                  <a:lumOff val="25000"/>
                </a:schemeClr>
              </a:solidFill>
              <a:latin typeface="+mj-lt"/>
            </a:rPr>
            <a:t>Combined height of 1067 to 1245 mm (42 to 49 in.). Referred to in the Supply Arrangement as "Work Surface Privacy Height Panel".</a:t>
          </a:r>
        </a:p>
        <a:p>
          <a:pPr algn="l"/>
          <a:endParaRPr lang="en-CA" sz="1000" b="0" baseline="0">
            <a:solidFill>
              <a:schemeClr val="tx1">
                <a:lumMod val="75000"/>
                <a:lumOff val="25000"/>
              </a:schemeClr>
            </a:solidFill>
            <a:latin typeface="+mj-lt"/>
          </a:endParaRPr>
        </a:p>
        <a:p>
          <a:r>
            <a:rPr lang="en-CA" sz="1000" b="1" baseline="0">
              <a:solidFill>
                <a:schemeClr val="tx1">
                  <a:lumMod val="75000"/>
                  <a:lumOff val="25000"/>
                </a:schemeClr>
              </a:solidFill>
              <a:effectLst/>
              <a:latin typeface="+mj-lt"/>
              <a:ea typeface="+mn-ea"/>
              <a:cs typeface="+mn-cs"/>
            </a:rPr>
            <a:t>A - 120⁰ Height Adjustable Work Surface</a:t>
          </a:r>
          <a:endParaRPr lang="en-CA" sz="1000">
            <a:solidFill>
              <a:schemeClr val="tx1">
                <a:lumMod val="75000"/>
                <a:lumOff val="25000"/>
              </a:schemeClr>
            </a:solidFill>
            <a:effectLst/>
            <a:latin typeface="+mj-lt"/>
          </a:endParaRPr>
        </a:p>
        <a:p>
          <a:r>
            <a:rPr lang="en-CA" sz="1000" b="0" baseline="0">
              <a:solidFill>
                <a:schemeClr val="tx1">
                  <a:lumMod val="75000"/>
                  <a:lumOff val="25000"/>
                </a:schemeClr>
              </a:solidFill>
              <a:effectLst/>
              <a:latin typeface="+mj-lt"/>
              <a:ea typeface="+mn-ea"/>
              <a:cs typeface="+mn-cs"/>
            </a:rPr>
            <a:t>120⁰ Height Adjustable Work Surface can be 1219 mm (48 in.), 1372 mm (54 in.) or 1524 mm (60 in.) in length (as measured along either of the two back edges), and should be 762 mm (30 in.) in depth (as measured along either of the two side edges).</a:t>
          </a:r>
          <a:endParaRPr lang="en-CA" sz="1000">
            <a:solidFill>
              <a:schemeClr val="tx1">
                <a:lumMod val="75000"/>
                <a:lumOff val="25000"/>
              </a:schemeClr>
            </a:solidFill>
            <a:effectLst/>
            <a:latin typeface="+mj-lt"/>
          </a:endParaRPr>
        </a:p>
        <a:p>
          <a:pPr algn="l"/>
          <a:endParaRPr lang="en-CA" sz="1000" b="0"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B - Monitor Arm</a:t>
          </a:r>
        </a:p>
        <a:p>
          <a:pPr algn="l"/>
          <a:r>
            <a:rPr lang="en-CA" sz="1000" b="0" baseline="0">
              <a:solidFill>
                <a:schemeClr val="tx1">
                  <a:lumMod val="75000"/>
                  <a:lumOff val="25000"/>
                </a:schemeClr>
              </a:solidFill>
              <a:latin typeface="+mj-lt"/>
            </a:rPr>
            <a:t>Double Monitor Arm recommended for 120⁰ Height Adjustable Work Surfaces 1219 mm (48 in.), 1372 mm (54 in.) or 1524 mm (60 in.) in length.</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C - Power Module</a:t>
          </a:r>
        </a:p>
        <a:p>
          <a:pPr algn="l"/>
          <a:r>
            <a:rPr lang="en-CA" sz="1000" b="0" baseline="0">
              <a:solidFill>
                <a:schemeClr val="tx1">
                  <a:lumMod val="75000"/>
                  <a:lumOff val="25000"/>
                </a:schemeClr>
              </a:solidFill>
              <a:latin typeface="+mj-lt"/>
            </a:rPr>
            <a:t>For accessibility, a power source is recommended at (or near) the leading edge of the height adjustable work surface</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G - Storage Component</a:t>
          </a:r>
        </a:p>
        <a:p>
          <a:pPr algn="l"/>
          <a:r>
            <a:rPr lang="en-CA" sz="1000" b="0" baseline="0">
              <a:solidFill>
                <a:schemeClr val="tx1">
                  <a:lumMod val="75000"/>
                  <a:lumOff val="25000"/>
                </a:schemeClr>
              </a:solidFill>
              <a:latin typeface="+mj-lt"/>
            </a:rPr>
            <a:t>If locks are required, keyless (i.e. keypad) is recommended.</a:t>
          </a:r>
        </a:p>
        <a:p>
          <a:pPr algn="l"/>
          <a:endParaRPr lang="en-CA" sz="1100" b="1">
            <a:solidFill>
              <a:schemeClr val="tx1">
                <a:lumMod val="75000"/>
                <a:lumOff val="25000"/>
              </a:schemeClr>
            </a:solidFill>
            <a:latin typeface="+mj-lt"/>
          </a:endParaRPr>
        </a:p>
      </xdr:txBody>
    </xdr:sp>
    <xdr:clientData/>
  </xdr:twoCellAnchor>
  <xdr:twoCellAnchor>
    <xdr:from>
      <xdr:col>7</xdr:col>
      <xdr:colOff>838200</xdr:colOff>
      <xdr:row>101</xdr:row>
      <xdr:rowOff>0</xdr:rowOff>
    </xdr:from>
    <xdr:to>
      <xdr:col>12</xdr:col>
      <xdr:colOff>933450</xdr:colOff>
      <xdr:row>121</xdr:row>
      <xdr:rowOff>0</xdr:rowOff>
    </xdr:to>
    <xdr:grpSp>
      <xdr:nvGrpSpPr>
        <xdr:cNvPr id="153" name="Group 152"/>
        <xdr:cNvGrpSpPr/>
      </xdr:nvGrpSpPr>
      <xdr:grpSpPr>
        <a:xfrm>
          <a:off x="5684520" y="37216080"/>
          <a:ext cx="6396990" cy="4572000"/>
          <a:chOff x="5943600" y="37216080"/>
          <a:chExt cx="6396990" cy="4572000"/>
        </a:xfrm>
      </xdr:grpSpPr>
      <xdr:sp macro="" textlink="">
        <xdr:nvSpPr>
          <xdr:cNvPr id="151" name="Rounded Rectangle 150"/>
          <xdr:cNvSpPr>
            <a:spLocks/>
          </xdr:cNvSpPr>
        </xdr:nvSpPr>
        <xdr:spPr>
          <a:xfrm>
            <a:off x="5943600" y="37216080"/>
            <a:ext cx="6396990" cy="4572000"/>
          </a:xfrm>
          <a:prstGeom prst="roundRect">
            <a:avLst>
              <a:gd name="adj" fmla="val 7084"/>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b"/>
          <a:lstStyle/>
          <a:p>
            <a:pPr algn="l"/>
            <a:r>
              <a:rPr lang="en-CA" sz="1000">
                <a:solidFill>
                  <a:schemeClr val="tx1">
                    <a:lumMod val="75000"/>
                    <a:lumOff val="25000"/>
                  </a:schemeClr>
                </a:solidFill>
                <a:latin typeface="+mj-lt"/>
              </a:rPr>
              <a:t>As an alternative</a:t>
            </a:r>
            <a:r>
              <a:rPr lang="en-CA" sz="1000" baseline="0">
                <a:solidFill>
                  <a:schemeClr val="tx1">
                    <a:lumMod val="75000"/>
                    <a:lumOff val="25000"/>
                  </a:schemeClr>
                </a:solidFill>
                <a:latin typeface="+mj-lt"/>
              </a:rPr>
              <a:t> in stand alone situations, </a:t>
            </a:r>
            <a:r>
              <a:rPr lang="en-CA" sz="1000">
                <a:solidFill>
                  <a:schemeClr val="tx1">
                    <a:lumMod val="75000"/>
                    <a:lumOff val="25000"/>
                  </a:schemeClr>
                </a:solidFill>
                <a:latin typeface="+mj-lt"/>
              </a:rPr>
              <a:t>work surface mounted privacy screens can replace panel elements. This provides the benefit of privacy "moving" with the user as they change the position of the height adjustable work surface.</a:t>
            </a:r>
          </a:p>
          <a:p>
            <a:pPr algn="l"/>
            <a:endParaRPr lang="en-CA" sz="1000">
              <a:solidFill>
                <a:schemeClr val="tx1">
                  <a:lumMod val="75000"/>
                  <a:lumOff val="25000"/>
                </a:schemeClr>
              </a:solidFill>
              <a:latin typeface="+mj-lt"/>
            </a:endParaRPr>
          </a:p>
          <a:p>
            <a:pPr algn="l"/>
            <a:r>
              <a:rPr lang="en-CA" sz="1000">
                <a:solidFill>
                  <a:schemeClr val="tx1">
                    <a:lumMod val="75000"/>
                    <a:lumOff val="25000"/>
                  </a:schemeClr>
                </a:solidFill>
                <a:latin typeface="+mj-lt"/>
              </a:rPr>
              <a:t>Additionally, a single, curvilinear computer monitor works well with the 120⁰ angle of this work surface.</a:t>
            </a:r>
          </a:p>
        </xdr:txBody>
      </xdr:sp>
      <xdr:pic>
        <xdr:nvPicPr>
          <xdr:cNvPr id="152" name="Picture 151"/>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val="0"/>
              </a:ext>
            </a:extLst>
          </a:blip>
          <a:stretch>
            <a:fillRect/>
          </a:stretch>
        </xdr:blipFill>
        <xdr:spPr>
          <a:xfrm>
            <a:off x="7021908" y="37338000"/>
            <a:ext cx="4240375" cy="3383280"/>
          </a:xfrm>
          <a:prstGeom prst="rect">
            <a:avLst/>
          </a:prstGeom>
        </xdr:spPr>
      </xdr:pic>
    </xdr:grpSp>
    <xdr:clientData/>
  </xdr:twoCellAnchor>
  <xdr:twoCellAnchor editAs="absolute">
    <xdr:from>
      <xdr:col>9</xdr:col>
      <xdr:colOff>1089660</xdr:colOff>
      <xdr:row>128</xdr:row>
      <xdr:rowOff>160020</xdr:rowOff>
    </xdr:from>
    <xdr:to>
      <xdr:col>13</xdr:col>
      <xdr:colOff>1508760</xdr:colOff>
      <xdr:row>132</xdr:row>
      <xdr:rowOff>746760</xdr:rowOff>
    </xdr:to>
    <xdr:sp macro="" textlink="">
      <xdr:nvSpPr>
        <xdr:cNvPr id="154" name="Rounded Rectangle 153"/>
        <xdr:cNvSpPr>
          <a:spLocks/>
        </xdr:cNvSpPr>
      </xdr:nvSpPr>
      <xdr:spPr>
        <a:xfrm>
          <a:off x="8130540" y="44043600"/>
          <a:ext cx="5577840" cy="3657600"/>
        </a:xfrm>
        <a:prstGeom prst="roundRect">
          <a:avLst>
            <a:gd name="adj" fmla="val 7242"/>
          </a:avLst>
        </a:prstGeom>
        <a:solidFill>
          <a:schemeClr val="bg1"/>
        </a:solidFill>
        <a:ln w="25400" cmpd="sng">
          <a:solidFill>
            <a:schemeClr val="tx1">
              <a:lumMod val="75000"/>
              <a:lumOff val="2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1440" rtlCol="0" anchor="t"/>
        <a:lstStyle/>
        <a:p>
          <a:pPr algn="l"/>
          <a:r>
            <a:rPr lang="en-CA" sz="1400" b="1">
              <a:solidFill>
                <a:schemeClr val="tx1">
                  <a:lumMod val="75000"/>
                  <a:lumOff val="25000"/>
                </a:schemeClr>
              </a:solidFill>
              <a:latin typeface="Tw Cen MT" panose="020B0602020104020603" pitchFamily="34" charset="0"/>
            </a:rPr>
            <a:t>TECHNICAL</a:t>
          </a:r>
          <a:r>
            <a:rPr lang="en-CA" sz="1400" b="1" baseline="0">
              <a:solidFill>
                <a:schemeClr val="tx1">
                  <a:lumMod val="75000"/>
                  <a:lumOff val="25000"/>
                </a:schemeClr>
              </a:solidFill>
              <a:latin typeface="Tw Cen MT" panose="020B0602020104020603" pitchFamily="34" charset="0"/>
            </a:rPr>
            <a:t> INFORMATION</a:t>
          </a:r>
        </a:p>
        <a:p>
          <a:pPr algn="l"/>
          <a:endParaRPr lang="en-CA" sz="1000">
            <a:solidFill>
              <a:schemeClr val="tx1">
                <a:lumMod val="75000"/>
                <a:lumOff val="25000"/>
              </a:schemeClr>
            </a:solidFill>
            <a:latin typeface="+mj-lt"/>
          </a:endParaRPr>
        </a:p>
        <a:p>
          <a:pPr algn="l"/>
          <a:r>
            <a:rPr lang="en-CA" sz="1000" b="1">
              <a:solidFill>
                <a:schemeClr val="tx1">
                  <a:lumMod val="75000"/>
                  <a:lumOff val="25000"/>
                </a:schemeClr>
              </a:solidFill>
              <a:latin typeface="+mj-lt"/>
            </a:rPr>
            <a:t>1 &amp; 2 - Base Height Panel with</a:t>
          </a:r>
          <a:r>
            <a:rPr lang="en-CA" sz="1000" b="1" baseline="0">
              <a:solidFill>
                <a:schemeClr val="tx1">
                  <a:lumMod val="75000"/>
                  <a:lumOff val="25000"/>
                </a:schemeClr>
              </a:solidFill>
              <a:latin typeface="+mj-lt"/>
            </a:rPr>
            <a:t> Panel Add-On Module</a:t>
          </a:r>
        </a:p>
        <a:p>
          <a:pPr algn="l"/>
          <a:r>
            <a:rPr lang="en-CA" sz="1000" b="0" baseline="0">
              <a:solidFill>
                <a:schemeClr val="tx1">
                  <a:lumMod val="75000"/>
                  <a:lumOff val="25000"/>
                </a:schemeClr>
              </a:solidFill>
              <a:latin typeface="+mj-lt"/>
            </a:rPr>
            <a:t>Combined height of 1067 to 1245 mm (42 to 49 in.). Referred to in the Supply Arrangement as "Work Surface Privacy Height Panel".</a:t>
          </a:r>
        </a:p>
        <a:p>
          <a:pPr algn="l"/>
          <a:endParaRPr lang="en-CA" sz="1000" b="0" baseline="0">
            <a:solidFill>
              <a:schemeClr val="tx1">
                <a:lumMod val="75000"/>
                <a:lumOff val="25000"/>
              </a:schemeClr>
            </a:solidFill>
            <a:latin typeface="+mj-lt"/>
          </a:endParaRPr>
        </a:p>
        <a:p>
          <a:r>
            <a:rPr lang="en-CA" sz="1000" b="1" baseline="0">
              <a:solidFill>
                <a:schemeClr val="tx1">
                  <a:lumMod val="75000"/>
                  <a:lumOff val="25000"/>
                </a:schemeClr>
              </a:solidFill>
              <a:effectLst/>
              <a:latin typeface="+mj-lt"/>
              <a:ea typeface="+mn-ea"/>
              <a:cs typeface="+mn-cs"/>
            </a:rPr>
            <a:t>A - 120⁰ Height Adjustable Work Surface</a:t>
          </a:r>
          <a:endParaRPr lang="en-CA" sz="1000">
            <a:solidFill>
              <a:schemeClr val="tx1">
                <a:lumMod val="75000"/>
                <a:lumOff val="25000"/>
              </a:schemeClr>
            </a:solidFill>
            <a:effectLst/>
            <a:latin typeface="+mj-lt"/>
          </a:endParaRPr>
        </a:p>
        <a:p>
          <a:r>
            <a:rPr lang="en-CA" sz="1000" b="0" baseline="0">
              <a:solidFill>
                <a:schemeClr val="tx1">
                  <a:lumMod val="75000"/>
                  <a:lumOff val="25000"/>
                </a:schemeClr>
              </a:solidFill>
              <a:effectLst/>
              <a:latin typeface="+mj-lt"/>
              <a:ea typeface="+mn-ea"/>
              <a:cs typeface="+mn-cs"/>
            </a:rPr>
            <a:t>120⁰ Height Adjustable Work Surface can be 1219 mm (48 in.), 1372 mm (54 in.) or 1524 mm (60 in.) in length (as measured along either of the two back edges), and should be 762 mm (30 in.) in depth (as measured along either of the two side edges).</a:t>
          </a:r>
          <a:endParaRPr lang="en-CA" sz="1000">
            <a:solidFill>
              <a:schemeClr val="tx1">
                <a:lumMod val="75000"/>
                <a:lumOff val="25000"/>
              </a:schemeClr>
            </a:solidFill>
            <a:effectLst/>
            <a:latin typeface="+mj-lt"/>
          </a:endParaRPr>
        </a:p>
        <a:p>
          <a:pPr algn="l"/>
          <a:endParaRPr lang="en-CA" sz="1000" b="0"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B - Monitor Arm</a:t>
          </a:r>
        </a:p>
        <a:p>
          <a:pPr algn="l"/>
          <a:r>
            <a:rPr lang="en-CA" sz="1000" b="0" baseline="0">
              <a:solidFill>
                <a:schemeClr val="tx1">
                  <a:lumMod val="75000"/>
                  <a:lumOff val="25000"/>
                </a:schemeClr>
              </a:solidFill>
              <a:latin typeface="+mj-lt"/>
            </a:rPr>
            <a:t>Double Monitor Arm recommended for 120⁰ Height Adjustable Work Surfaces 1219 mm (48 in.), 1372 mm (54 in.) or 1524 mm (60 in.) in length.</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C - Power Module</a:t>
          </a:r>
        </a:p>
        <a:p>
          <a:pPr algn="l"/>
          <a:r>
            <a:rPr lang="en-CA" sz="1000" b="0" baseline="0">
              <a:solidFill>
                <a:schemeClr val="tx1">
                  <a:lumMod val="75000"/>
                  <a:lumOff val="25000"/>
                </a:schemeClr>
              </a:solidFill>
              <a:latin typeface="+mj-lt"/>
            </a:rPr>
            <a:t>For accessibility, a power source is recommended at (or near) the leading edge of the height adjustable work surface</a:t>
          </a:r>
        </a:p>
        <a:p>
          <a:pPr algn="l"/>
          <a:endParaRPr lang="en-CA" sz="1000" b="1" baseline="0">
            <a:solidFill>
              <a:schemeClr val="tx1">
                <a:lumMod val="75000"/>
                <a:lumOff val="25000"/>
              </a:schemeClr>
            </a:solidFill>
            <a:latin typeface="+mj-lt"/>
          </a:endParaRPr>
        </a:p>
        <a:p>
          <a:pPr algn="l"/>
          <a:r>
            <a:rPr lang="en-CA" sz="1000" b="1" baseline="0">
              <a:solidFill>
                <a:schemeClr val="tx1">
                  <a:lumMod val="75000"/>
                  <a:lumOff val="25000"/>
                </a:schemeClr>
              </a:solidFill>
              <a:latin typeface="+mj-lt"/>
            </a:rPr>
            <a:t>G - Storage Component</a:t>
          </a:r>
        </a:p>
        <a:p>
          <a:pPr algn="l"/>
          <a:r>
            <a:rPr lang="en-CA" sz="1000" b="0" baseline="0">
              <a:solidFill>
                <a:schemeClr val="tx1">
                  <a:lumMod val="75000"/>
                  <a:lumOff val="25000"/>
                </a:schemeClr>
              </a:solidFill>
              <a:latin typeface="+mj-lt"/>
            </a:rPr>
            <a:t>If locks are required, keyless (i.e. keypad) is recommended.</a:t>
          </a:r>
        </a:p>
        <a:p>
          <a:pPr algn="l"/>
          <a:endParaRPr lang="en-CA" sz="1100" b="1">
            <a:solidFill>
              <a:schemeClr val="tx1">
                <a:lumMod val="75000"/>
                <a:lumOff val="25000"/>
              </a:schemeClr>
            </a:solidFill>
            <a:latin typeface="+mj-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36380"/>
          <a:ext cx="1826623" cy="499872"/>
        </a:xfrm>
        <a:prstGeom prst="rect">
          <a:avLst/>
        </a:prstGeom>
      </xdr:spPr>
    </xdr:pic>
    <xdr:clientData/>
  </xdr:twoCellAnchor>
  <xdr:oneCellAnchor>
    <xdr:from>
      <xdr:col>2</xdr:col>
      <xdr:colOff>0</xdr:colOff>
      <xdr:row>50</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35700"/>
          <a:ext cx="1827519" cy="508837"/>
        </a:xfrm>
        <a:prstGeom prst="rect">
          <a:avLst/>
        </a:prstGeom>
      </xdr:spPr>
    </xdr:pic>
    <xdr:clientData/>
  </xdr:oneCellAnchor>
  <xdr:twoCellAnchor>
    <xdr:from>
      <xdr:col>3</xdr:col>
      <xdr:colOff>0</xdr:colOff>
      <xdr:row>31</xdr:row>
      <xdr:rowOff>121920</xdr:rowOff>
    </xdr:from>
    <xdr:to>
      <xdr:col>7</xdr:col>
      <xdr:colOff>649956</xdr:colOff>
      <xdr:row>34</xdr:row>
      <xdr:rowOff>762000</xdr:rowOff>
    </xdr:to>
    <xdr:sp macro="" textlink="">
      <xdr:nvSpPr>
        <xdr:cNvPr id="20" name="Rounded Rectangle 19"/>
        <xdr:cNvSpPr>
          <a:spLocks noChangeAspect="1"/>
        </xdr:cNvSpPr>
      </xdr:nvSpPr>
      <xdr:spPr>
        <a:xfrm>
          <a:off x="982980" y="11551920"/>
          <a:ext cx="4513296" cy="3383280"/>
        </a:xfrm>
        <a:prstGeom prst="roundRect">
          <a:avLst/>
        </a:prstGeom>
        <a:blipFill>
          <a:blip xmlns:r="http://schemas.openxmlformats.org/officeDocument/2006/relationships" r:embed="rId3"/>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0</xdr:colOff>
      <xdr:row>4</xdr:row>
      <xdr:rowOff>121920</xdr:rowOff>
    </xdr:from>
    <xdr:to>
      <xdr:col>6</xdr:col>
      <xdr:colOff>867833</xdr:colOff>
      <xdr:row>7</xdr:row>
      <xdr:rowOff>762000</xdr:rowOff>
    </xdr:to>
    <xdr:sp macro="" textlink="">
      <xdr:nvSpPr>
        <xdr:cNvPr id="28" name="Rounded Rectangle 27"/>
        <xdr:cNvSpPr>
          <a:spLocks noChangeAspect="1"/>
        </xdr:cNvSpPr>
      </xdr:nvSpPr>
      <xdr:spPr>
        <a:xfrm>
          <a:off x="982980" y="1630680"/>
          <a:ext cx="3633893" cy="3383280"/>
        </a:xfrm>
        <a:prstGeom prst="roundRect">
          <a:avLst/>
        </a:prstGeom>
        <a:blipFill>
          <a:blip xmlns:r="http://schemas.openxmlformats.org/officeDocument/2006/relationships" r:embed="rId4"/>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792480</xdr:colOff>
      <xdr:row>31</xdr:row>
      <xdr:rowOff>121920</xdr:rowOff>
    </xdr:from>
    <xdr:to>
      <xdr:col>10</xdr:col>
      <xdr:colOff>537707</xdr:colOff>
      <xdr:row>34</xdr:row>
      <xdr:rowOff>762000</xdr:rowOff>
    </xdr:to>
    <xdr:grpSp>
      <xdr:nvGrpSpPr>
        <xdr:cNvPr id="34" name="Group 33"/>
        <xdr:cNvGrpSpPr/>
      </xdr:nvGrpSpPr>
      <xdr:grpSpPr>
        <a:xfrm>
          <a:off x="5638800" y="11551920"/>
          <a:ext cx="4347707" cy="3383280"/>
          <a:chOff x="5638800" y="11551920"/>
          <a:chExt cx="4347707" cy="3383280"/>
        </a:xfrm>
      </xdr:grpSpPr>
      <xdr:sp macro="" textlink="">
        <xdr:nvSpPr>
          <xdr:cNvPr id="25" name="Rounded Rectangle 24"/>
          <xdr:cNvSpPr>
            <a:spLocks noChangeAspect="1"/>
          </xdr:cNvSpPr>
        </xdr:nvSpPr>
        <xdr:spPr>
          <a:xfrm>
            <a:off x="5638800" y="11551920"/>
            <a:ext cx="4347707" cy="3383280"/>
          </a:xfrm>
          <a:prstGeom prst="roundRect">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50C08B"/>
                </a:solidFill>
                <a:latin typeface="Tw Cen MT" panose="020B0602020104020603" pitchFamily="34" charset="0"/>
              </a:rPr>
              <a:t>PLAN VIEW</a:t>
            </a:r>
          </a:p>
        </xdr:txBody>
      </xdr:sp>
      <xdr:pic>
        <xdr:nvPicPr>
          <xdr:cNvPr id="33" name="Picture 32"/>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6050309" y="12070080"/>
            <a:ext cx="3524689" cy="2743200"/>
          </a:xfrm>
          <a:prstGeom prst="rect">
            <a:avLst/>
          </a:prstGeom>
        </xdr:spPr>
      </xdr:pic>
    </xdr:grpSp>
    <xdr:clientData/>
  </xdr:twoCellAnchor>
  <xdr:twoCellAnchor editAs="oneCell">
    <xdr:from>
      <xdr:col>7</xdr:col>
      <xdr:colOff>170081</xdr:colOff>
      <xdr:row>4</xdr:row>
      <xdr:rowOff>640080</xdr:rowOff>
    </xdr:from>
    <xdr:to>
      <xdr:col>9</xdr:col>
      <xdr:colOff>79855</xdr:colOff>
      <xdr:row>7</xdr:row>
      <xdr:rowOff>640080</xdr:rowOff>
    </xdr:to>
    <xdr:pic>
      <xdr:nvPicPr>
        <xdr:cNvPr id="35" name="Picture 34"/>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rot="5400000">
          <a:off x="4696968" y="2468273"/>
          <a:ext cx="2743200" cy="2104334"/>
        </a:xfrm>
        <a:prstGeom prst="rect">
          <a:avLst/>
        </a:prstGeom>
      </xdr:spPr>
    </xdr:pic>
    <xdr:clientData/>
  </xdr:twoCellAnchor>
  <xdr:twoCellAnchor>
    <xdr:from>
      <xdr:col>6</xdr:col>
      <xdr:colOff>1021080</xdr:colOff>
      <xdr:row>4</xdr:row>
      <xdr:rowOff>121920</xdr:rowOff>
    </xdr:from>
    <xdr:to>
      <xdr:col>9</xdr:col>
      <xdr:colOff>326136</xdr:colOff>
      <xdr:row>7</xdr:row>
      <xdr:rowOff>762000</xdr:rowOff>
    </xdr:to>
    <xdr:sp macro="" textlink="">
      <xdr:nvSpPr>
        <xdr:cNvPr id="36" name="Rounded Rectangle 35"/>
        <xdr:cNvSpPr>
          <a:spLocks/>
        </xdr:cNvSpPr>
      </xdr:nvSpPr>
      <xdr:spPr>
        <a:xfrm>
          <a:off x="4770120" y="1630680"/>
          <a:ext cx="2596896" cy="3383280"/>
        </a:xfrm>
        <a:prstGeom prst="roundRect">
          <a:avLst>
            <a:gd name="adj" fmla="val 21661"/>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50C08B"/>
              </a:solidFill>
              <a:latin typeface="Tw Cen MT" panose="020B0602020104020603" pitchFamily="34" charset="0"/>
            </a:rPr>
            <a:t>PLAN VIEW</a:t>
          </a:r>
        </a:p>
      </xdr:txBody>
    </xdr:sp>
    <xdr:clientData/>
  </xdr:twoCellAnchor>
  <xdr:twoCellAnchor>
    <xdr:from>
      <xdr:col>2</xdr:col>
      <xdr:colOff>0</xdr:colOff>
      <xdr:row>5</xdr:row>
      <xdr:rowOff>670560</xdr:rowOff>
    </xdr:from>
    <xdr:to>
      <xdr:col>3</xdr:col>
      <xdr:colOff>60960</xdr:colOff>
      <xdr:row>6</xdr:row>
      <xdr:rowOff>213360</xdr:rowOff>
    </xdr:to>
    <xdr:sp macro="" textlink="">
      <xdr:nvSpPr>
        <xdr:cNvPr id="37" name="Oval 36"/>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32</xdr:row>
      <xdr:rowOff>670560</xdr:rowOff>
    </xdr:from>
    <xdr:to>
      <xdr:col>3</xdr:col>
      <xdr:colOff>60960</xdr:colOff>
      <xdr:row>33</xdr:row>
      <xdr:rowOff>213360</xdr:rowOff>
    </xdr:to>
    <xdr:sp macro="" textlink="">
      <xdr:nvSpPr>
        <xdr:cNvPr id="39" name="Oval 38"/>
        <xdr:cNvSpPr/>
      </xdr:nvSpPr>
      <xdr:spPr>
        <a:xfrm>
          <a:off x="586740" y="13014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32</xdr:row>
      <xdr:rowOff>0</xdr:rowOff>
    </xdr:from>
    <xdr:to>
      <xdr:col>3</xdr:col>
      <xdr:colOff>60960</xdr:colOff>
      <xdr:row>32</xdr:row>
      <xdr:rowOff>457200</xdr:rowOff>
    </xdr:to>
    <xdr:sp macro="" textlink="">
      <xdr:nvSpPr>
        <xdr:cNvPr id="42" name="Oval 41"/>
        <xdr:cNvSpPr/>
      </xdr:nvSpPr>
      <xdr:spPr>
        <a:xfrm>
          <a:off x="586740" y="123444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5</xdr:row>
      <xdr:rowOff>0</xdr:rowOff>
    </xdr:from>
    <xdr:to>
      <xdr:col>3</xdr:col>
      <xdr:colOff>60960</xdr:colOff>
      <xdr:row>5</xdr:row>
      <xdr:rowOff>457200</xdr:rowOff>
    </xdr:to>
    <xdr:sp macro="" textlink="">
      <xdr:nvSpPr>
        <xdr:cNvPr id="43" name="Oval 42"/>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33</xdr:row>
      <xdr:rowOff>441960</xdr:rowOff>
    </xdr:from>
    <xdr:to>
      <xdr:col>3</xdr:col>
      <xdr:colOff>60960</xdr:colOff>
      <xdr:row>33</xdr:row>
      <xdr:rowOff>899160</xdr:rowOff>
    </xdr:to>
    <xdr:sp macro="" textlink="">
      <xdr:nvSpPr>
        <xdr:cNvPr id="44" name="Oval 43"/>
        <xdr:cNvSpPr/>
      </xdr:nvSpPr>
      <xdr:spPr>
        <a:xfrm>
          <a:off x="586740" y="137007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5</xdr:row>
      <xdr:rowOff>228600</xdr:rowOff>
    </xdr:from>
    <xdr:to>
      <xdr:col>3</xdr:col>
      <xdr:colOff>960120</xdr:colOff>
      <xdr:row>5</xdr:row>
      <xdr:rowOff>495300</xdr:rowOff>
    </xdr:to>
    <xdr:cxnSp macro="">
      <xdr:nvCxnSpPr>
        <xdr:cNvPr id="46" name="Elbow Connector 45"/>
        <xdr:cNvCxnSpPr>
          <a:stCxn id="43" idx="6"/>
        </xdr:cNvCxnSpPr>
      </xdr:nvCxnSpPr>
      <xdr:spPr>
        <a:xfrm>
          <a:off x="1043940" y="2651760"/>
          <a:ext cx="899160" cy="266700"/>
        </a:xfrm>
        <a:prstGeom prst="bentConnector3">
          <a:avLst>
            <a:gd name="adj1" fmla="val 23729"/>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888124</xdr:rowOff>
    </xdr:from>
    <xdr:to>
      <xdr:col>4</xdr:col>
      <xdr:colOff>183931</xdr:colOff>
      <xdr:row>5</xdr:row>
      <xdr:rowOff>899160</xdr:rowOff>
    </xdr:to>
    <xdr:cxnSp macro="">
      <xdr:nvCxnSpPr>
        <xdr:cNvPr id="55" name="Straight Connector 54"/>
        <xdr:cNvCxnSpPr>
          <a:stCxn id="37" idx="6"/>
        </xdr:cNvCxnSpPr>
      </xdr:nvCxnSpPr>
      <xdr:spPr>
        <a:xfrm flipV="1">
          <a:off x="1038422" y="3305503"/>
          <a:ext cx="2098916" cy="11036"/>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32</xdr:row>
      <xdr:rowOff>899160</xdr:rowOff>
    </xdr:from>
    <xdr:to>
      <xdr:col>3</xdr:col>
      <xdr:colOff>1125415</xdr:colOff>
      <xdr:row>32</xdr:row>
      <xdr:rowOff>899160</xdr:rowOff>
    </xdr:to>
    <xdr:cxnSp macro="">
      <xdr:nvCxnSpPr>
        <xdr:cNvPr id="67" name="Straight Arrow Connector 66"/>
        <xdr:cNvCxnSpPr>
          <a:stCxn id="39" idx="6"/>
        </xdr:cNvCxnSpPr>
      </xdr:nvCxnSpPr>
      <xdr:spPr>
        <a:xfrm>
          <a:off x="1051560" y="13237698"/>
          <a:ext cx="1064455"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32</xdr:row>
      <xdr:rowOff>228600</xdr:rowOff>
    </xdr:from>
    <xdr:to>
      <xdr:col>6</xdr:col>
      <xdr:colOff>216877</xdr:colOff>
      <xdr:row>32</xdr:row>
      <xdr:rowOff>228600</xdr:rowOff>
    </xdr:to>
    <xdr:cxnSp macro="">
      <xdr:nvCxnSpPr>
        <xdr:cNvPr id="74" name="Straight Arrow Connector 73"/>
        <xdr:cNvCxnSpPr>
          <a:stCxn id="42" idx="6"/>
        </xdr:cNvCxnSpPr>
      </xdr:nvCxnSpPr>
      <xdr:spPr>
        <a:xfrm>
          <a:off x="1051560" y="12567138"/>
          <a:ext cx="2928425"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32</xdr:row>
      <xdr:rowOff>439616</xdr:rowOff>
    </xdr:from>
    <xdr:to>
      <xdr:col>6</xdr:col>
      <xdr:colOff>1060938</xdr:colOff>
      <xdr:row>33</xdr:row>
      <xdr:rowOff>685800</xdr:rowOff>
    </xdr:to>
    <xdr:cxnSp macro="">
      <xdr:nvCxnSpPr>
        <xdr:cNvPr id="83" name="Elbow Connector 82"/>
        <xdr:cNvCxnSpPr/>
      </xdr:nvCxnSpPr>
      <xdr:spPr>
        <a:xfrm flipV="1">
          <a:off x="1066800" y="12778154"/>
          <a:ext cx="3757246" cy="1160584"/>
        </a:xfrm>
        <a:prstGeom prst="bentConnector3">
          <a:avLst>
            <a:gd name="adj1" fmla="val 10007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42672</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36380"/>
          <a:ext cx="1826623" cy="499872"/>
        </a:xfrm>
        <a:prstGeom prst="rect">
          <a:avLst/>
        </a:prstGeom>
      </xdr:spPr>
    </xdr:pic>
    <xdr:clientData/>
  </xdr:twoCellAnchor>
  <xdr:oneCellAnchor>
    <xdr:from>
      <xdr:col>2</xdr:col>
      <xdr:colOff>0</xdr:colOff>
      <xdr:row>50</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35700"/>
          <a:ext cx="1827519" cy="508837"/>
        </a:xfrm>
        <a:prstGeom prst="rect">
          <a:avLst/>
        </a:prstGeom>
      </xdr:spPr>
    </xdr:pic>
    <xdr:clientData/>
  </xdr:oneCellAnchor>
  <xdr:twoCellAnchor>
    <xdr:from>
      <xdr:col>2</xdr:col>
      <xdr:colOff>0</xdr:colOff>
      <xdr:row>4</xdr:row>
      <xdr:rowOff>121920</xdr:rowOff>
    </xdr:from>
    <xdr:to>
      <xdr:col>6</xdr:col>
      <xdr:colOff>772935</xdr:colOff>
      <xdr:row>7</xdr:row>
      <xdr:rowOff>762000</xdr:rowOff>
    </xdr:to>
    <xdr:grpSp>
      <xdr:nvGrpSpPr>
        <xdr:cNvPr id="21" name="Group 20"/>
        <xdr:cNvGrpSpPr/>
      </xdr:nvGrpSpPr>
      <xdr:grpSpPr>
        <a:xfrm>
          <a:off x="586740" y="1630680"/>
          <a:ext cx="3935235" cy="3383280"/>
          <a:chOff x="586740" y="1630680"/>
          <a:chExt cx="3935235" cy="3383280"/>
        </a:xfrm>
      </xdr:grpSpPr>
      <xdr:sp macro="" textlink="">
        <xdr:nvSpPr>
          <xdr:cNvPr id="6" name="Rounded Rectangle 5"/>
          <xdr:cNvSpPr>
            <a:spLocks noChangeAspect="1"/>
          </xdr:cNvSpPr>
        </xdr:nvSpPr>
        <xdr:spPr>
          <a:xfrm>
            <a:off x="982980" y="1630680"/>
            <a:ext cx="3538995" cy="3383280"/>
          </a:xfrm>
          <a:prstGeom prst="roundRect">
            <a:avLst/>
          </a:prstGeom>
          <a:blipFill>
            <a:blip xmlns:r="http://schemas.openxmlformats.org/officeDocument/2006/relationships" r:embed="rId3"/>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0" name="Oval 9"/>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11" name="Oval 10"/>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12" name="Elbow Connector 11"/>
          <xdr:cNvCxnSpPr>
            <a:stCxn id="10" idx="6"/>
          </xdr:cNvCxnSpPr>
        </xdr:nvCxnSpPr>
        <xdr:spPr>
          <a:xfrm flipV="1">
            <a:off x="1043940" y="3123247"/>
            <a:ext cx="1158240" cy="199073"/>
          </a:xfrm>
          <a:prstGeom prst="bentConnector3">
            <a:avLst>
              <a:gd name="adj1" fmla="val 2697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xdr:cNvCxnSpPr>
            <a:stCxn id="11" idx="6"/>
          </xdr:cNvCxnSpPr>
        </xdr:nvCxnSpPr>
        <xdr:spPr>
          <a:xfrm>
            <a:off x="1043940" y="2651760"/>
            <a:ext cx="948690" cy="0"/>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914400</xdr:colOff>
      <xdr:row>4</xdr:row>
      <xdr:rowOff>121920</xdr:rowOff>
    </xdr:from>
    <xdr:to>
      <xdr:col>9</xdr:col>
      <xdr:colOff>366480</xdr:colOff>
      <xdr:row>7</xdr:row>
      <xdr:rowOff>762000</xdr:rowOff>
    </xdr:to>
    <xdr:grpSp>
      <xdr:nvGrpSpPr>
        <xdr:cNvPr id="30" name="Group 29"/>
        <xdr:cNvGrpSpPr/>
      </xdr:nvGrpSpPr>
      <xdr:grpSpPr>
        <a:xfrm>
          <a:off x="4663440" y="1630680"/>
          <a:ext cx="2743920" cy="3383280"/>
          <a:chOff x="4663440" y="1630680"/>
          <a:chExt cx="2743920" cy="3383280"/>
        </a:xfrm>
      </xdr:grpSpPr>
      <xdr:sp macro="" textlink="">
        <xdr:nvSpPr>
          <xdr:cNvPr id="24" name="Rounded Rectangle 23"/>
          <xdr:cNvSpPr>
            <a:spLocks noChangeAspect="1"/>
          </xdr:cNvSpPr>
        </xdr:nvSpPr>
        <xdr:spPr>
          <a:xfrm>
            <a:off x="4663440" y="1630680"/>
            <a:ext cx="2743920" cy="3383280"/>
          </a:xfrm>
          <a:prstGeom prst="roundRect">
            <a:avLst>
              <a:gd name="adj" fmla="val 19999"/>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50C08B"/>
                </a:solidFill>
                <a:latin typeface="Tw Cen MT" panose="020B0602020104020603" pitchFamily="34" charset="0"/>
              </a:rPr>
              <a:t>PLAN VIEW</a:t>
            </a:r>
          </a:p>
        </xdr:txBody>
      </xdr:sp>
      <xdr:pic>
        <xdr:nvPicPr>
          <xdr:cNvPr id="25" name="Picture 2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4921913" y="2148840"/>
            <a:ext cx="2226975" cy="2743200"/>
          </a:xfrm>
          <a:prstGeom prst="rect">
            <a:avLst/>
          </a:prstGeom>
        </xdr:spPr>
      </xdr:pic>
    </xdr:grpSp>
    <xdr:clientData/>
  </xdr:twoCellAnchor>
  <xdr:twoCellAnchor>
    <xdr:from>
      <xdr:col>6</xdr:col>
      <xdr:colOff>571500</xdr:colOff>
      <xdr:row>31</xdr:row>
      <xdr:rowOff>121920</xdr:rowOff>
    </xdr:from>
    <xdr:to>
      <xdr:col>9</xdr:col>
      <xdr:colOff>1656779</xdr:colOff>
      <xdr:row>34</xdr:row>
      <xdr:rowOff>762000</xdr:rowOff>
    </xdr:to>
    <xdr:grpSp>
      <xdr:nvGrpSpPr>
        <xdr:cNvPr id="29" name="Group 28"/>
        <xdr:cNvGrpSpPr/>
      </xdr:nvGrpSpPr>
      <xdr:grpSpPr>
        <a:xfrm>
          <a:off x="4320540" y="11551920"/>
          <a:ext cx="4377119" cy="3383280"/>
          <a:chOff x="4320540" y="11551920"/>
          <a:chExt cx="4377119" cy="3383280"/>
        </a:xfrm>
      </xdr:grpSpPr>
      <xdr:pic>
        <xdr:nvPicPr>
          <xdr:cNvPr id="26" name="Picture 25"/>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val="0"/>
              </a:ext>
            </a:extLst>
          </a:blip>
          <a:srcRect l="5728" t="10689" r="8922"/>
          <a:stretch/>
        </xdr:blipFill>
        <xdr:spPr>
          <a:xfrm>
            <a:off x="4737449" y="12070080"/>
            <a:ext cx="3543301" cy="2743200"/>
          </a:xfrm>
          <a:prstGeom prst="rect">
            <a:avLst/>
          </a:prstGeom>
        </xdr:spPr>
      </xdr:pic>
      <xdr:sp macro="" textlink="">
        <xdr:nvSpPr>
          <xdr:cNvPr id="28" name="Rounded Rectangle 27"/>
          <xdr:cNvSpPr>
            <a:spLocks noChangeAspect="1"/>
          </xdr:cNvSpPr>
        </xdr:nvSpPr>
        <xdr:spPr>
          <a:xfrm>
            <a:off x="4320540" y="11551920"/>
            <a:ext cx="4377119" cy="3383280"/>
          </a:xfrm>
          <a:prstGeom prst="roundRect">
            <a:avLst/>
          </a:prstGeom>
          <a:noFill/>
          <a:ln w="19050">
            <a:solidFill>
              <a:srgbClr val="50C0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50C08B"/>
                </a:solidFill>
                <a:latin typeface="Tw Cen MT" panose="020B0602020104020603" pitchFamily="34" charset="0"/>
              </a:rPr>
              <a:t>PLAN VIEW</a:t>
            </a:r>
          </a:p>
        </xdr:txBody>
      </xdr:sp>
    </xdr:grpSp>
    <xdr:clientData/>
  </xdr:twoCellAnchor>
  <xdr:twoCellAnchor>
    <xdr:from>
      <xdr:col>2</xdr:col>
      <xdr:colOff>0</xdr:colOff>
      <xdr:row>31</xdr:row>
      <xdr:rowOff>121920</xdr:rowOff>
    </xdr:from>
    <xdr:to>
      <xdr:col>6</xdr:col>
      <xdr:colOff>420991</xdr:colOff>
      <xdr:row>34</xdr:row>
      <xdr:rowOff>762000</xdr:rowOff>
    </xdr:to>
    <xdr:grpSp>
      <xdr:nvGrpSpPr>
        <xdr:cNvPr id="44" name="Group 43"/>
        <xdr:cNvGrpSpPr/>
      </xdr:nvGrpSpPr>
      <xdr:grpSpPr>
        <a:xfrm>
          <a:off x="586740" y="11551920"/>
          <a:ext cx="3583291" cy="3383280"/>
          <a:chOff x="582706" y="11632602"/>
          <a:chExt cx="3576567" cy="3383280"/>
        </a:xfrm>
      </xdr:grpSpPr>
      <xdr:sp macro="" textlink="">
        <xdr:nvSpPr>
          <xdr:cNvPr id="9" name="Rounded Rectangle 8"/>
          <xdr:cNvSpPr>
            <a:spLocks noChangeAspect="1"/>
          </xdr:cNvSpPr>
        </xdr:nvSpPr>
        <xdr:spPr>
          <a:xfrm>
            <a:off x="977153" y="11632602"/>
            <a:ext cx="3182120" cy="3383280"/>
          </a:xfrm>
          <a:prstGeom prst="roundRect">
            <a:avLst/>
          </a:prstGeom>
          <a:blipFill>
            <a:blip xmlns:r="http://schemas.openxmlformats.org/officeDocument/2006/relationships" r:embed="rId6"/>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31" name="Oval 30"/>
          <xdr:cNvSpPr/>
        </xdr:nvSpPr>
        <xdr:spPr>
          <a:xfrm>
            <a:off x="582706" y="13095642"/>
            <a:ext cx="455407"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32" name="Oval 31"/>
          <xdr:cNvSpPr/>
        </xdr:nvSpPr>
        <xdr:spPr>
          <a:xfrm>
            <a:off x="582706" y="12425082"/>
            <a:ext cx="455407"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sp macro="" textlink="">
        <xdr:nvSpPr>
          <xdr:cNvPr id="33" name="Oval 32"/>
          <xdr:cNvSpPr/>
        </xdr:nvSpPr>
        <xdr:spPr>
          <a:xfrm>
            <a:off x="582706" y="13781442"/>
            <a:ext cx="455407"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xnSp macro="">
        <xdr:nvCxnSpPr>
          <xdr:cNvPr id="34" name="Straight Arrow Connector 33"/>
          <xdr:cNvCxnSpPr>
            <a:stCxn id="31" idx="6"/>
          </xdr:cNvCxnSpPr>
        </xdr:nvCxnSpPr>
        <xdr:spPr>
          <a:xfrm>
            <a:off x="1038113" y="13324242"/>
            <a:ext cx="1012466" cy="1988"/>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xdr:cNvCxnSpPr>
            <a:stCxn id="32" idx="6"/>
          </xdr:cNvCxnSpPr>
        </xdr:nvCxnSpPr>
        <xdr:spPr>
          <a:xfrm>
            <a:off x="1038113" y="12653682"/>
            <a:ext cx="61722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6" name="Elbow Connector 35"/>
          <xdr:cNvCxnSpPr/>
        </xdr:nvCxnSpPr>
        <xdr:spPr>
          <a:xfrm flipV="1">
            <a:off x="1053353" y="12745122"/>
            <a:ext cx="1790700" cy="1280160"/>
          </a:xfrm>
          <a:prstGeom prst="bentConnector3">
            <a:avLst>
              <a:gd name="adj1" fmla="val 9958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3</xdr:col>
      <xdr:colOff>1415143</xdr:colOff>
      <xdr:row>23</xdr:row>
      <xdr:rowOff>42673</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59240"/>
          <a:ext cx="1826623" cy="499872"/>
        </a:xfrm>
        <a:prstGeom prst="rect">
          <a:avLst/>
        </a:prstGeom>
      </xdr:spPr>
    </xdr:pic>
    <xdr:clientData/>
  </xdr:twoCellAnchor>
  <xdr:oneCellAnchor>
    <xdr:from>
      <xdr:col>2</xdr:col>
      <xdr:colOff>0</xdr:colOff>
      <xdr:row>48</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9011900"/>
          <a:ext cx="1827519" cy="508837"/>
        </a:xfrm>
        <a:prstGeom prst="rect">
          <a:avLst/>
        </a:prstGeom>
      </xdr:spPr>
    </xdr:pic>
    <xdr:clientData/>
  </xdr:oneCellAnchor>
  <xdr:twoCellAnchor>
    <xdr:from>
      <xdr:col>6</xdr:col>
      <xdr:colOff>914406</xdr:colOff>
      <xdr:row>4</xdr:row>
      <xdr:rowOff>143440</xdr:rowOff>
    </xdr:from>
    <xdr:to>
      <xdr:col>9</xdr:col>
      <xdr:colOff>471392</xdr:colOff>
      <xdr:row>7</xdr:row>
      <xdr:rowOff>783520</xdr:rowOff>
    </xdr:to>
    <xdr:grpSp>
      <xdr:nvGrpSpPr>
        <xdr:cNvPr id="24" name="Group 23"/>
        <xdr:cNvGrpSpPr/>
      </xdr:nvGrpSpPr>
      <xdr:grpSpPr>
        <a:xfrm>
          <a:off x="4663446" y="1652200"/>
          <a:ext cx="2848826" cy="3383280"/>
          <a:chOff x="4652688" y="1658475"/>
          <a:chExt cx="2838069" cy="3383280"/>
        </a:xfrm>
      </xdr:grpSpPr>
      <xdr:pic>
        <xdr:nvPicPr>
          <xdr:cNvPr id="14" name="Picture 1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4921268" y="2155115"/>
            <a:ext cx="2300908" cy="2743200"/>
          </a:xfrm>
          <a:prstGeom prst="rect">
            <a:avLst/>
          </a:prstGeom>
        </xdr:spPr>
      </xdr:pic>
      <xdr:sp macro="" textlink="">
        <xdr:nvSpPr>
          <xdr:cNvPr id="16" name="Rounded Rectangle 15"/>
          <xdr:cNvSpPr>
            <a:spLocks noChangeAspect="1"/>
          </xdr:cNvSpPr>
        </xdr:nvSpPr>
        <xdr:spPr>
          <a:xfrm>
            <a:off x="4652688" y="1658475"/>
            <a:ext cx="2838069" cy="3383280"/>
          </a:xfrm>
          <a:prstGeom prst="roundRect">
            <a:avLst>
              <a:gd name="adj" fmla="val 19826"/>
            </a:avLst>
          </a:prstGeom>
          <a:noFill/>
          <a:ln w="19050">
            <a:solidFill>
              <a:srgbClr val="62669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626694"/>
                </a:solidFill>
                <a:latin typeface="Tw Cen MT" panose="020B0602020104020603" pitchFamily="34" charset="0"/>
              </a:rPr>
              <a:t>PLAN VIEW</a:t>
            </a:r>
          </a:p>
        </xdr:txBody>
      </xdr:sp>
    </xdr:grpSp>
    <xdr:clientData/>
  </xdr:twoCellAnchor>
  <xdr:twoCellAnchor>
    <xdr:from>
      <xdr:col>6</xdr:col>
      <xdr:colOff>555814</xdr:colOff>
      <xdr:row>28</xdr:row>
      <xdr:rowOff>143440</xdr:rowOff>
    </xdr:from>
    <xdr:to>
      <xdr:col>9</xdr:col>
      <xdr:colOff>422970</xdr:colOff>
      <xdr:row>31</xdr:row>
      <xdr:rowOff>783520</xdr:rowOff>
    </xdr:to>
    <xdr:grpSp>
      <xdr:nvGrpSpPr>
        <xdr:cNvPr id="25" name="Group 24"/>
        <xdr:cNvGrpSpPr/>
      </xdr:nvGrpSpPr>
      <xdr:grpSpPr>
        <a:xfrm>
          <a:off x="4304854" y="11504860"/>
          <a:ext cx="3158996" cy="3383280"/>
          <a:chOff x="4294096" y="11546546"/>
          <a:chExt cx="3148239" cy="3383280"/>
        </a:xfrm>
      </xdr:grpSpPr>
      <xdr:pic>
        <xdr:nvPicPr>
          <xdr:cNvPr id="21" name="Picture 20"/>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74548" y="12007326"/>
            <a:ext cx="2639387" cy="2834640"/>
          </a:xfrm>
          <a:prstGeom prst="rect">
            <a:avLst/>
          </a:prstGeom>
        </xdr:spPr>
      </xdr:pic>
      <xdr:sp macro="" textlink="">
        <xdr:nvSpPr>
          <xdr:cNvPr id="23" name="Rounded Rectangle 22"/>
          <xdr:cNvSpPr>
            <a:spLocks noChangeAspect="1"/>
          </xdr:cNvSpPr>
        </xdr:nvSpPr>
        <xdr:spPr>
          <a:xfrm>
            <a:off x="4294096" y="11546546"/>
            <a:ext cx="3148239" cy="3383280"/>
          </a:xfrm>
          <a:prstGeom prst="roundRect">
            <a:avLst>
              <a:gd name="adj" fmla="val 18091"/>
            </a:avLst>
          </a:prstGeom>
          <a:noFill/>
          <a:ln w="19050">
            <a:solidFill>
              <a:srgbClr val="62669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626694"/>
                </a:solidFill>
                <a:latin typeface="Tw Cen MT" panose="020B0602020104020603" pitchFamily="34" charset="0"/>
              </a:rPr>
              <a:t>PLAN VIEW</a:t>
            </a:r>
          </a:p>
        </xdr:txBody>
      </xdr:sp>
    </xdr:grpSp>
    <xdr:clientData/>
  </xdr:twoCellAnchor>
  <xdr:twoCellAnchor>
    <xdr:from>
      <xdr:col>2</xdr:col>
      <xdr:colOff>0</xdr:colOff>
      <xdr:row>28</xdr:row>
      <xdr:rowOff>143440</xdr:rowOff>
    </xdr:from>
    <xdr:to>
      <xdr:col>6</xdr:col>
      <xdr:colOff>398854</xdr:colOff>
      <xdr:row>31</xdr:row>
      <xdr:rowOff>783520</xdr:rowOff>
    </xdr:to>
    <xdr:grpSp>
      <xdr:nvGrpSpPr>
        <xdr:cNvPr id="71" name="Group 70"/>
        <xdr:cNvGrpSpPr/>
      </xdr:nvGrpSpPr>
      <xdr:grpSpPr>
        <a:xfrm>
          <a:off x="586740" y="11504860"/>
          <a:ext cx="3561154" cy="3383280"/>
          <a:chOff x="586740" y="11504860"/>
          <a:chExt cx="3561154" cy="3383280"/>
        </a:xfrm>
      </xdr:grpSpPr>
      <xdr:sp macro="" textlink="">
        <xdr:nvSpPr>
          <xdr:cNvPr id="20" name="Rounded Rectangle 19"/>
          <xdr:cNvSpPr>
            <a:spLocks noChangeAspect="1"/>
          </xdr:cNvSpPr>
        </xdr:nvSpPr>
        <xdr:spPr>
          <a:xfrm>
            <a:off x="982980" y="11504860"/>
            <a:ext cx="3164914" cy="3383280"/>
          </a:xfrm>
          <a:prstGeom prst="roundRect">
            <a:avLst/>
          </a:prstGeom>
          <a:blipFill>
            <a:blip xmlns:r="http://schemas.openxmlformats.org/officeDocument/2006/relationships" r:embed="rId5"/>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endParaRPr lang="en-CA" sz="1100"/>
          </a:p>
        </xdr:txBody>
      </xdr:sp>
      <xdr:sp macro="" textlink="">
        <xdr:nvSpPr>
          <xdr:cNvPr id="12" name="Oval 11"/>
          <xdr:cNvSpPr/>
        </xdr:nvSpPr>
        <xdr:spPr>
          <a:xfrm>
            <a:off x="586740" y="129463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15" name="Oval 14"/>
          <xdr:cNvSpPr/>
        </xdr:nvSpPr>
        <xdr:spPr>
          <a:xfrm>
            <a:off x="586740" y="122758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17" name="Elbow Connector 16"/>
          <xdr:cNvCxnSpPr>
            <a:stCxn id="15" idx="6"/>
          </xdr:cNvCxnSpPr>
        </xdr:nvCxnSpPr>
        <xdr:spPr>
          <a:xfrm>
            <a:off x="1043940" y="12504420"/>
            <a:ext cx="1729740" cy="762000"/>
          </a:xfrm>
          <a:prstGeom prst="bentConnector3">
            <a:avLst>
              <a:gd name="adj1" fmla="val 10022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19" name="Elbow Connector 18"/>
          <xdr:cNvCxnSpPr>
            <a:stCxn id="12" idx="6"/>
          </xdr:cNvCxnSpPr>
        </xdr:nvCxnSpPr>
        <xdr:spPr>
          <a:xfrm>
            <a:off x="1043940" y="13174980"/>
            <a:ext cx="1213363" cy="232187"/>
          </a:xfrm>
          <a:prstGeom prst="bentConnector3">
            <a:avLst>
              <a:gd name="adj1" fmla="val 9997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4</xdr:row>
      <xdr:rowOff>134475</xdr:rowOff>
    </xdr:from>
    <xdr:to>
      <xdr:col>6</xdr:col>
      <xdr:colOff>757252</xdr:colOff>
      <xdr:row>7</xdr:row>
      <xdr:rowOff>774555</xdr:rowOff>
    </xdr:to>
    <xdr:grpSp>
      <xdr:nvGrpSpPr>
        <xdr:cNvPr id="70" name="Group 69"/>
        <xdr:cNvGrpSpPr/>
      </xdr:nvGrpSpPr>
      <xdr:grpSpPr>
        <a:xfrm>
          <a:off x="586740" y="1643235"/>
          <a:ext cx="3919552" cy="3383280"/>
          <a:chOff x="586740" y="1643235"/>
          <a:chExt cx="3919552" cy="3383280"/>
        </a:xfrm>
      </xdr:grpSpPr>
      <xdr:sp macro="" textlink="">
        <xdr:nvSpPr>
          <xdr:cNvPr id="13" name="Rounded Rectangle 12"/>
          <xdr:cNvSpPr>
            <a:spLocks noChangeAspect="1"/>
          </xdr:cNvSpPr>
        </xdr:nvSpPr>
        <xdr:spPr>
          <a:xfrm>
            <a:off x="982980" y="1643235"/>
            <a:ext cx="3523312" cy="3383280"/>
          </a:xfrm>
          <a:prstGeom prst="roundRect">
            <a:avLst/>
          </a:prstGeom>
          <a:blipFill>
            <a:blip xmlns:r="http://schemas.openxmlformats.org/officeDocument/2006/relationships" r:embed="rId6"/>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34" name="Oval 33"/>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35" name="Oval 34"/>
          <xdr:cNvSpPr/>
        </xdr:nvSpPr>
        <xdr:spPr>
          <a:xfrm>
            <a:off x="586740" y="17526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sp macro="" textlink="">
        <xdr:nvSpPr>
          <xdr:cNvPr id="36" name="Oval 35"/>
          <xdr:cNvSpPr/>
        </xdr:nvSpPr>
        <xdr:spPr>
          <a:xfrm>
            <a:off x="586740" y="3108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xnSp macro="">
        <xdr:nvCxnSpPr>
          <xdr:cNvPr id="39" name="Elbow Connector 38"/>
          <xdr:cNvCxnSpPr>
            <a:stCxn id="36" idx="6"/>
          </xdr:cNvCxnSpPr>
        </xdr:nvCxnSpPr>
        <xdr:spPr>
          <a:xfrm>
            <a:off x="1043940" y="3337560"/>
            <a:ext cx="1491615" cy="442912"/>
          </a:xfrm>
          <a:prstGeom prst="bentConnector3">
            <a:avLst>
              <a:gd name="adj1" fmla="val 15837"/>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sp macro="" textlink="">
        <xdr:nvSpPr>
          <xdr:cNvPr id="40" name="Oval 39"/>
          <xdr:cNvSpPr/>
        </xdr:nvSpPr>
        <xdr:spPr>
          <a:xfrm>
            <a:off x="586740" y="377380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xnSp macro="">
        <xdr:nvCxnSpPr>
          <xdr:cNvPr id="41" name="Straight Arrow Connector 40"/>
          <xdr:cNvCxnSpPr>
            <a:stCxn id="40" idx="6"/>
          </xdr:cNvCxnSpPr>
        </xdr:nvCxnSpPr>
        <xdr:spPr>
          <a:xfrm flipV="1">
            <a:off x="1043940" y="3999547"/>
            <a:ext cx="991553" cy="2859"/>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sp macro="" textlink="">
        <xdr:nvSpPr>
          <xdr:cNvPr id="44" name="Oval 43"/>
          <xdr:cNvSpPr/>
        </xdr:nvSpPr>
        <xdr:spPr>
          <a:xfrm>
            <a:off x="586740" y="4442881"/>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xnSp macro="">
        <xdr:nvCxnSpPr>
          <xdr:cNvPr id="57" name="Elbow Connector 56"/>
          <xdr:cNvCxnSpPr>
            <a:stCxn id="44" idx="6"/>
          </xdr:cNvCxnSpPr>
        </xdr:nvCxnSpPr>
        <xdr:spPr>
          <a:xfrm flipV="1">
            <a:off x="1043940" y="4047172"/>
            <a:ext cx="2570797" cy="624309"/>
          </a:xfrm>
          <a:prstGeom prst="bentConnector3">
            <a:avLst>
              <a:gd name="adj1" fmla="val 99703"/>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63" name="Elbow Connector 62"/>
          <xdr:cNvCxnSpPr>
            <a:stCxn id="34" idx="6"/>
          </xdr:cNvCxnSpPr>
        </xdr:nvCxnSpPr>
        <xdr:spPr>
          <a:xfrm>
            <a:off x="1043940" y="2651760"/>
            <a:ext cx="1163003" cy="795337"/>
          </a:xfrm>
          <a:prstGeom prst="bentConnector3">
            <a:avLst>
              <a:gd name="adj1" fmla="val 7989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67" name="Elbow Connector 66"/>
          <xdr:cNvCxnSpPr>
            <a:stCxn id="35" idx="6"/>
          </xdr:cNvCxnSpPr>
        </xdr:nvCxnSpPr>
        <xdr:spPr>
          <a:xfrm>
            <a:off x="1043940" y="1981200"/>
            <a:ext cx="1634490" cy="1675447"/>
          </a:xfrm>
          <a:prstGeom prst="bentConnector2">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3</xdr:col>
      <xdr:colOff>1415143</xdr:colOff>
      <xdr:row>21</xdr:row>
      <xdr:rowOff>42671</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090660"/>
          <a:ext cx="1826623" cy="499872"/>
        </a:xfrm>
        <a:prstGeom prst="rect">
          <a:avLst/>
        </a:prstGeom>
      </xdr:spPr>
    </xdr:pic>
    <xdr:clientData/>
  </xdr:twoCellAnchor>
  <xdr:oneCellAnchor>
    <xdr:from>
      <xdr:col>2</xdr:col>
      <xdr:colOff>0</xdr:colOff>
      <xdr:row>41</xdr:row>
      <xdr:rowOff>0</xdr:rowOff>
    </xdr:from>
    <xdr:ext cx="1827519" cy="508837"/>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43320"/>
          <a:ext cx="1827519" cy="508837"/>
        </a:xfrm>
        <a:prstGeom prst="rect">
          <a:avLst/>
        </a:prstGeom>
      </xdr:spPr>
    </xdr:pic>
    <xdr:clientData/>
  </xdr:oneCellAnchor>
  <xdr:twoCellAnchor>
    <xdr:from>
      <xdr:col>3</xdr:col>
      <xdr:colOff>0</xdr:colOff>
      <xdr:row>4</xdr:row>
      <xdr:rowOff>143440</xdr:rowOff>
    </xdr:from>
    <xdr:to>
      <xdr:col>7</xdr:col>
      <xdr:colOff>1044302</xdr:colOff>
      <xdr:row>7</xdr:row>
      <xdr:rowOff>783520</xdr:rowOff>
    </xdr:to>
    <xdr:sp macro="" textlink="">
      <xdr:nvSpPr>
        <xdr:cNvPr id="6" name="Rounded Rectangle 5"/>
        <xdr:cNvSpPr>
          <a:spLocks noChangeAspect="1"/>
        </xdr:cNvSpPr>
      </xdr:nvSpPr>
      <xdr:spPr>
        <a:xfrm>
          <a:off x="982980" y="1652200"/>
          <a:ext cx="4907642" cy="3383280"/>
        </a:xfrm>
        <a:prstGeom prst="roundRect">
          <a:avLst/>
        </a:prstGeom>
        <a:blipFill>
          <a:blip xmlns:r="http://schemas.openxmlformats.org/officeDocument/2006/relationships" r:embed="rId3"/>
          <a:stretch>
            <a:fillRect/>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465720</xdr:colOff>
      <xdr:row>4</xdr:row>
      <xdr:rowOff>143440</xdr:rowOff>
    </xdr:from>
    <xdr:to>
      <xdr:col>10</xdr:col>
      <xdr:colOff>819777</xdr:colOff>
      <xdr:row>7</xdr:row>
      <xdr:rowOff>783520</xdr:rowOff>
    </xdr:to>
    <xdr:grpSp>
      <xdr:nvGrpSpPr>
        <xdr:cNvPr id="16" name="Group 15"/>
        <xdr:cNvGrpSpPr/>
      </xdr:nvGrpSpPr>
      <xdr:grpSpPr>
        <a:xfrm>
          <a:off x="6409320" y="1652200"/>
          <a:ext cx="3859257" cy="3383280"/>
          <a:chOff x="6033251" y="1658475"/>
          <a:chExt cx="3859257" cy="3383280"/>
        </a:xfrm>
      </xdr:grpSpPr>
      <xdr:pic>
        <xdr:nvPicPr>
          <xdr:cNvPr id="7" name="Picture 6"/>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6399660" y="2146150"/>
            <a:ext cx="3126438" cy="2743200"/>
          </a:xfrm>
          <a:prstGeom prst="rect">
            <a:avLst/>
          </a:prstGeom>
        </xdr:spPr>
      </xdr:pic>
      <xdr:sp macro="" textlink="">
        <xdr:nvSpPr>
          <xdr:cNvPr id="9" name="Rounded Rectangle 8"/>
          <xdr:cNvSpPr>
            <a:spLocks noChangeAspect="1"/>
          </xdr:cNvSpPr>
        </xdr:nvSpPr>
        <xdr:spPr>
          <a:xfrm>
            <a:off x="6033251" y="1658475"/>
            <a:ext cx="3859257" cy="3383280"/>
          </a:xfrm>
          <a:prstGeom prst="roundRect">
            <a:avLst/>
          </a:prstGeom>
          <a:noFill/>
          <a:ln w="19050">
            <a:solidFill>
              <a:srgbClr val="62669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626694"/>
                </a:solidFill>
                <a:latin typeface="Tw Cen MT" panose="020B0602020104020603" pitchFamily="34" charset="0"/>
              </a:rPr>
              <a:t>PLAN VIEW</a:t>
            </a:r>
          </a:p>
        </xdr:txBody>
      </xdr:sp>
    </xdr:grpSp>
    <xdr:clientData/>
  </xdr:twoCellAnchor>
  <xdr:twoCellAnchor>
    <xdr:from>
      <xdr:col>3</xdr:col>
      <xdr:colOff>0</xdr:colOff>
      <xdr:row>26</xdr:row>
      <xdr:rowOff>135820</xdr:rowOff>
    </xdr:from>
    <xdr:to>
      <xdr:col>8</xdr:col>
      <xdr:colOff>342995</xdr:colOff>
      <xdr:row>29</xdr:row>
      <xdr:rowOff>775900</xdr:rowOff>
    </xdr:to>
    <xdr:sp macro="" textlink="">
      <xdr:nvSpPr>
        <xdr:cNvPr id="12" name="Rounded Rectangle 11"/>
        <xdr:cNvSpPr>
          <a:spLocks noChangeAspect="1"/>
        </xdr:cNvSpPr>
      </xdr:nvSpPr>
      <xdr:spPr>
        <a:xfrm>
          <a:off x="982980" y="11588680"/>
          <a:ext cx="5303615" cy="3383280"/>
        </a:xfrm>
        <a:prstGeom prst="roundRect">
          <a:avLst/>
        </a:prstGeom>
        <a:blipFill>
          <a:blip xmlns:r="http://schemas.openxmlformats.org/officeDocument/2006/relationships" r:embed="rId5"/>
          <a:srcRect/>
          <a:stretch>
            <a:fillRect t="-7208" r="-3968"/>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814445</xdr:colOff>
      <xdr:row>26</xdr:row>
      <xdr:rowOff>152405</xdr:rowOff>
    </xdr:from>
    <xdr:to>
      <xdr:col>14</xdr:col>
      <xdr:colOff>278632</xdr:colOff>
      <xdr:row>29</xdr:row>
      <xdr:rowOff>792485</xdr:rowOff>
    </xdr:to>
    <xdr:grpSp>
      <xdr:nvGrpSpPr>
        <xdr:cNvPr id="17" name="Group 16"/>
        <xdr:cNvGrpSpPr/>
      </xdr:nvGrpSpPr>
      <xdr:grpSpPr>
        <a:xfrm>
          <a:off x="6758045" y="11605265"/>
          <a:ext cx="5773547" cy="3383280"/>
          <a:chOff x="6427696" y="11636193"/>
          <a:chExt cx="5778029" cy="3383280"/>
        </a:xfrm>
      </xdr:grpSpPr>
      <xdr:pic>
        <xdr:nvPicPr>
          <xdr:cNvPr id="13" name="Picture 12"/>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6975953" y="12132833"/>
            <a:ext cx="4681515" cy="2743200"/>
          </a:xfrm>
          <a:prstGeom prst="rect">
            <a:avLst/>
          </a:prstGeom>
        </xdr:spPr>
      </xdr:pic>
      <xdr:sp macro="" textlink="">
        <xdr:nvSpPr>
          <xdr:cNvPr id="15" name="Rounded Rectangle 14"/>
          <xdr:cNvSpPr>
            <a:spLocks noChangeAspect="1"/>
          </xdr:cNvSpPr>
        </xdr:nvSpPr>
        <xdr:spPr>
          <a:xfrm>
            <a:off x="6427696" y="11636193"/>
            <a:ext cx="5778029" cy="3383280"/>
          </a:xfrm>
          <a:prstGeom prst="roundRect">
            <a:avLst/>
          </a:prstGeom>
          <a:noFill/>
          <a:ln w="19050">
            <a:solidFill>
              <a:srgbClr val="62669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626694"/>
                </a:solidFill>
                <a:latin typeface="Tw Cen MT" panose="020B0602020104020603" pitchFamily="34" charset="0"/>
              </a:rPr>
              <a:t>PLAN VIEW</a:t>
            </a:r>
          </a:p>
        </xdr:txBody>
      </xdr:sp>
    </xdr:grpSp>
    <xdr:clientData/>
  </xdr:twoCellAnchor>
  <xdr:twoCellAnchor>
    <xdr:from>
      <xdr:col>2</xdr:col>
      <xdr:colOff>0</xdr:colOff>
      <xdr:row>27</xdr:row>
      <xdr:rowOff>350520</xdr:rowOff>
    </xdr:from>
    <xdr:to>
      <xdr:col>3</xdr:col>
      <xdr:colOff>60960</xdr:colOff>
      <xdr:row>27</xdr:row>
      <xdr:rowOff>807720</xdr:rowOff>
    </xdr:to>
    <xdr:sp macro="" textlink="">
      <xdr:nvSpPr>
        <xdr:cNvPr id="14" name="Oval 13"/>
        <xdr:cNvSpPr/>
      </xdr:nvSpPr>
      <xdr:spPr>
        <a:xfrm>
          <a:off x="586740" y="127177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26</xdr:row>
      <xdr:rowOff>594360</xdr:rowOff>
    </xdr:from>
    <xdr:to>
      <xdr:col>3</xdr:col>
      <xdr:colOff>60960</xdr:colOff>
      <xdr:row>27</xdr:row>
      <xdr:rowOff>137160</xdr:rowOff>
    </xdr:to>
    <xdr:sp macro="" textlink="">
      <xdr:nvSpPr>
        <xdr:cNvPr id="18" name="Oval 17"/>
        <xdr:cNvSpPr/>
      </xdr:nvSpPr>
      <xdr:spPr>
        <a:xfrm>
          <a:off x="586740" y="120472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28</xdr:row>
      <xdr:rowOff>121920</xdr:rowOff>
    </xdr:from>
    <xdr:to>
      <xdr:col>3</xdr:col>
      <xdr:colOff>60960</xdr:colOff>
      <xdr:row>28</xdr:row>
      <xdr:rowOff>579120</xdr:rowOff>
    </xdr:to>
    <xdr:sp macro="" textlink="">
      <xdr:nvSpPr>
        <xdr:cNvPr id="19" name="Oval 18"/>
        <xdr:cNvSpPr/>
      </xdr:nvSpPr>
      <xdr:spPr>
        <a:xfrm>
          <a:off x="586740" y="134035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3</xdr:col>
      <xdr:colOff>60960</xdr:colOff>
      <xdr:row>27</xdr:row>
      <xdr:rowOff>579120</xdr:rowOff>
    </xdr:from>
    <xdr:to>
      <xdr:col>3</xdr:col>
      <xdr:colOff>929640</xdr:colOff>
      <xdr:row>27</xdr:row>
      <xdr:rowOff>579120</xdr:rowOff>
    </xdr:to>
    <xdr:cxnSp macro="">
      <xdr:nvCxnSpPr>
        <xdr:cNvPr id="20" name="Straight Arrow Connector 19"/>
        <xdr:cNvCxnSpPr>
          <a:stCxn id="14" idx="6"/>
        </xdr:cNvCxnSpPr>
      </xdr:nvCxnSpPr>
      <xdr:spPr>
        <a:xfrm>
          <a:off x="1043940" y="12946380"/>
          <a:ext cx="86868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27</xdr:row>
      <xdr:rowOff>845820</xdr:rowOff>
    </xdr:from>
    <xdr:to>
      <xdr:col>3</xdr:col>
      <xdr:colOff>1752600</xdr:colOff>
      <xdr:row>28</xdr:row>
      <xdr:rowOff>365760</xdr:rowOff>
    </xdr:to>
    <xdr:cxnSp macro="">
      <xdr:nvCxnSpPr>
        <xdr:cNvPr id="22" name="Elbow Connector 21"/>
        <xdr:cNvCxnSpPr/>
      </xdr:nvCxnSpPr>
      <xdr:spPr>
        <a:xfrm flipV="1">
          <a:off x="1059180" y="13213080"/>
          <a:ext cx="1676400" cy="43434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28</xdr:row>
      <xdr:rowOff>786766</xdr:rowOff>
    </xdr:from>
    <xdr:to>
      <xdr:col>3</xdr:col>
      <xdr:colOff>60960</xdr:colOff>
      <xdr:row>29</xdr:row>
      <xdr:rowOff>329566</xdr:rowOff>
    </xdr:to>
    <xdr:sp macro="" textlink="">
      <xdr:nvSpPr>
        <xdr:cNvPr id="23" name="Oval 22"/>
        <xdr:cNvSpPr/>
      </xdr:nvSpPr>
      <xdr:spPr>
        <a:xfrm>
          <a:off x="586740" y="1406842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2</xdr:col>
      <xdr:colOff>0</xdr:colOff>
      <xdr:row>5</xdr:row>
      <xdr:rowOff>0</xdr:rowOff>
    </xdr:from>
    <xdr:to>
      <xdr:col>3</xdr:col>
      <xdr:colOff>60960</xdr:colOff>
      <xdr:row>5</xdr:row>
      <xdr:rowOff>457200</xdr:rowOff>
    </xdr:to>
    <xdr:sp macro="" textlink="">
      <xdr:nvSpPr>
        <xdr:cNvPr id="25" name="Oval 24"/>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clientData/>
  </xdr:twoCellAnchor>
  <xdr:twoCellAnchor>
    <xdr:from>
      <xdr:col>2</xdr:col>
      <xdr:colOff>0</xdr:colOff>
      <xdr:row>4</xdr:row>
      <xdr:rowOff>243840</xdr:rowOff>
    </xdr:from>
    <xdr:to>
      <xdr:col>3</xdr:col>
      <xdr:colOff>60960</xdr:colOff>
      <xdr:row>4</xdr:row>
      <xdr:rowOff>701040</xdr:rowOff>
    </xdr:to>
    <xdr:sp macro="" textlink="">
      <xdr:nvSpPr>
        <xdr:cNvPr id="26" name="Oval 25"/>
        <xdr:cNvSpPr/>
      </xdr:nvSpPr>
      <xdr:spPr>
        <a:xfrm>
          <a:off x="586740" y="17526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2</xdr:col>
      <xdr:colOff>0</xdr:colOff>
      <xdr:row>5</xdr:row>
      <xdr:rowOff>685800</xdr:rowOff>
    </xdr:from>
    <xdr:to>
      <xdr:col>3</xdr:col>
      <xdr:colOff>60960</xdr:colOff>
      <xdr:row>6</xdr:row>
      <xdr:rowOff>228600</xdr:rowOff>
    </xdr:to>
    <xdr:sp macro="" textlink="">
      <xdr:nvSpPr>
        <xdr:cNvPr id="27" name="Oval 26"/>
        <xdr:cNvSpPr/>
      </xdr:nvSpPr>
      <xdr:spPr>
        <a:xfrm>
          <a:off x="586740" y="3108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C</a:t>
          </a:r>
        </a:p>
      </xdr:txBody>
    </xdr:sp>
    <xdr:clientData/>
  </xdr:twoCellAnchor>
  <xdr:twoCellAnchor>
    <xdr:from>
      <xdr:col>2</xdr:col>
      <xdr:colOff>0</xdr:colOff>
      <xdr:row>6</xdr:row>
      <xdr:rowOff>436246</xdr:rowOff>
    </xdr:from>
    <xdr:to>
      <xdr:col>3</xdr:col>
      <xdr:colOff>60960</xdr:colOff>
      <xdr:row>6</xdr:row>
      <xdr:rowOff>893446</xdr:rowOff>
    </xdr:to>
    <xdr:sp macro="" textlink="">
      <xdr:nvSpPr>
        <xdr:cNvPr id="29" name="Oval 28"/>
        <xdr:cNvSpPr/>
      </xdr:nvSpPr>
      <xdr:spPr>
        <a:xfrm>
          <a:off x="586740" y="377380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D</a:t>
          </a:r>
        </a:p>
      </xdr:txBody>
    </xdr:sp>
    <xdr:clientData/>
  </xdr:twoCellAnchor>
  <xdr:twoCellAnchor>
    <xdr:from>
      <xdr:col>2</xdr:col>
      <xdr:colOff>0</xdr:colOff>
      <xdr:row>7</xdr:row>
      <xdr:rowOff>190921</xdr:rowOff>
    </xdr:from>
    <xdr:to>
      <xdr:col>3</xdr:col>
      <xdr:colOff>60960</xdr:colOff>
      <xdr:row>7</xdr:row>
      <xdr:rowOff>648121</xdr:rowOff>
    </xdr:to>
    <xdr:sp macro="" textlink="">
      <xdr:nvSpPr>
        <xdr:cNvPr id="31" name="Oval 30"/>
        <xdr:cNvSpPr/>
      </xdr:nvSpPr>
      <xdr:spPr>
        <a:xfrm>
          <a:off x="586740" y="4442881"/>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3</xdr:col>
      <xdr:colOff>60960</xdr:colOff>
      <xdr:row>6</xdr:row>
      <xdr:rowOff>320040</xdr:rowOff>
    </xdr:from>
    <xdr:to>
      <xdr:col>5</xdr:col>
      <xdr:colOff>198120</xdr:colOff>
      <xdr:row>7</xdr:row>
      <xdr:rowOff>419521</xdr:rowOff>
    </xdr:to>
    <xdr:cxnSp macro="">
      <xdr:nvCxnSpPr>
        <xdr:cNvPr id="32" name="Elbow Connector 31"/>
        <xdr:cNvCxnSpPr>
          <a:stCxn id="31" idx="6"/>
        </xdr:cNvCxnSpPr>
      </xdr:nvCxnSpPr>
      <xdr:spPr>
        <a:xfrm flipV="1">
          <a:off x="1043940" y="3657600"/>
          <a:ext cx="2506980" cy="1013881"/>
        </a:xfrm>
        <a:prstGeom prst="bentConnector3">
          <a:avLst>
            <a:gd name="adj1" fmla="val 9954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4</xdr:row>
      <xdr:rowOff>472440</xdr:rowOff>
    </xdr:from>
    <xdr:to>
      <xdr:col>6</xdr:col>
      <xdr:colOff>15240</xdr:colOff>
      <xdr:row>5</xdr:row>
      <xdr:rowOff>137160</xdr:rowOff>
    </xdr:to>
    <xdr:cxnSp macro="">
      <xdr:nvCxnSpPr>
        <xdr:cNvPr id="34" name="Elbow Connector 33"/>
        <xdr:cNvCxnSpPr>
          <a:stCxn id="26" idx="6"/>
        </xdr:cNvCxnSpPr>
      </xdr:nvCxnSpPr>
      <xdr:spPr>
        <a:xfrm>
          <a:off x="1043940" y="1981200"/>
          <a:ext cx="2720340" cy="57912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228600</xdr:colOff>
      <xdr:row>27</xdr:row>
      <xdr:rowOff>350520</xdr:rowOff>
    </xdr:from>
    <xdr:to>
      <xdr:col>8</xdr:col>
      <xdr:colOff>685800</xdr:colOff>
      <xdr:row>27</xdr:row>
      <xdr:rowOff>807720</xdr:rowOff>
    </xdr:to>
    <xdr:sp macro="" textlink="">
      <xdr:nvSpPr>
        <xdr:cNvPr id="38" name="Oval 37"/>
        <xdr:cNvSpPr/>
      </xdr:nvSpPr>
      <xdr:spPr>
        <a:xfrm>
          <a:off x="6172200" y="127177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8</xdr:col>
      <xdr:colOff>228600</xdr:colOff>
      <xdr:row>26</xdr:row>
      <xdr:rowOff>594360</xdr:rowOff>
    </xdr:from>
    <xdr:to>
      <xdr:col>8</xdr:col>
      <xdr:colOff>685800</xdr:colOff>
      <xdr:row>27</xdr:row>
      <xdr:rowOff>137160</xdr:rowOff>
    </xdr:to>
    <xdr:sp macro="" textlink="">
      <xdr:nvSpPr>
        <xdr:cNvPr id="39" name="Oval 38"/>
        <xdr:cNvSpPr/>
      </xdr:nvSpPr>
      <xdr:spPr>
        <a:xfrm>
          <a:off x="6172200" y="120472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E</a:t>
          </a:r>
        </a:p>
      </xdr:txBody>
    </xdr:sp>
    <xdr:clientData/>
  </xdr:twoCellAnchor>
  <xdr:twoCellAnchor>
    <xdr:from>
      <xdr:col>8</xdr:col>
      <xdr:colOff>228600</xdr:colOff>
      <xdr:row>28</xdr:row>
      <xdr:rowOff>121920</xdr:rowOff>
    </xdr:from>
    <xdr:to>
      <xdr:col>8</xdr:col>
      <xdr:colOff>685800</xdr:colOff>
      <xdr:row>28</xdr:row>
      <xdr:rowOff>579120</xdr:rowOff>
    </xdr:to>
    <xdr:sp macro="" textlink="">
      <xdr:nvSpPr>
        <xdr:cNvPr id="40" name="Oval 39"/>
        <xdr:cNvSpPr/>
      </xdr:nvSpPr>
      <xdr:spPr>
        <a:xfrm>
          <a:off x="6172200" y="134035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8</xdr:col>
      <xdr:colOff>685800</xdr:colOff>
      <xdr:row>28</xdr:row>
      <xdr:rowOff>350520</xdr:rowOff>
    </xdr:from>
    <xdr:to>
      <xdr:col>9</xdr:col>
      <xdr:colOff>1844040</xdr:colOff>
      <xdr:row>28</xdr:row>
      <xdr:rowOff>358140</xdr:rowOff>
    </xdr:to>
    <xdr:cxnSp macro="">
      <xdr:nvCxnSpPr>
        <xdr:cNvPr id="43" name="Elbow Connector 42"/>
        <xdr:cNvCxnSpPr>
          <a:stCxn id="40" idx="6"/>
        </xdr:cNvCxnSpPr>
      </xdr:nvCxnSpPr>
      <xdr:spPr>
        <a:xfrm>
          <a:off x="6629400" y="13632180"/>
          <a:ext cx="2255520" cy="762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228600</xdr:colOff>
      <xdr:row>28</xdr:row>
      <xdr:rowOff>786766</xdr:rowOff>
    </xdr:from>
    <xdr:to>
      <xdr:col>8</xdr:col>
      <xdr:colOff>685800</xdr:colOff>
      <xdr:row>29</xdr:row>
      <xdr:rowOff>329566</xdr:rowOff>
    </xdr:to>
    <xdr:sp macro="" textlink="">
      <xdr:nvSpPr>
        <xdr:cNvPr id="44" name="Oval 43"/>
        <xdr:cNvSpPr/>
      </xdr:nvSpPr>
      <xdr:spPr>
        <a:xfrm>
          <a:off x="6172200" y="1406842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H</a:t>
          </a:r>
        </a:p>
      </xdr:txBody>
    </xdr:sp>
    <xdr:clientData/>
  </xdr:twoCellAnchor>
  <xdr:twoCellAnchor>
    <xdr:from>
      <xdr:col>6</xdr:col>
      <xdr:colOff>922020</xdr:colOff>
      <xdr:row>28</xdr:row>
      <xdr:rowOff>800100</xdr:rowOff>
    </xdr:from>
    <xdr:to>
      <xdr:col>8</xdr:col>
      <xdr:colOff>228600</xdr:colOff>
      <xdr:row>29</xdr:row>
      <xdr:rowOff>100966</xdr:rowOff>
    </xdr:to>
    <xdr:cxnSp macro="">
      <xdr:nvCxnSpPr>
        <xdr:cNvPr id="55" name="Elbow Connector 54"/>
        <xdr:cNvCxnSpPr>
          <a:stCxn id="44" idx="2"/>
        </xdr:cNvCxnSpPr>
      </xdr:nvCxnSpPr>
      <xdr:spPr>
        <a:xfrm rot="10800000">
          <a:off x="4671060" y="14081760"/>
          <a:ext cx="1501140" cy="215266"/>
        </a:xfrm>
        <a:prstGeom prst="bentConnector3">
          <a:avLst>
            <a:gd name="adj1" fmla="val 10025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26</xdr:row>
      <xdr:rowOff>822960</xdr:rowOff>
    </xdr:from>
    <xdr:to>
      <xdr:col>3</xdr:col>
      <xdr:colOff>1089660</xdr:colOff>
      <xdr:row>27</xdr:row>
      <xdr:rowOff>342900</xdr:rowOff>
    </xdr:to>
    <xdr:cxnSp macro="">
      <xdr:nvCxnSpPr>
        <xdr:cNvPr id="59" name="Elbow Connector 58"/>
        <xdr:cNvCxnSpPr>
          <a:stCxn id="18" idx="6"/>
        </xdr:cNvCxnSpPr>
      </xdr:nvCxnSpPr>
      <xdr:spPr>
        <a:xfrm>
          <a:off x="1043940" y="12275820"/>
          <a:ext cx="1028700" cy="434340"/>
        </a:xfrm>
        <a:prstGeom prst="bentConnector3">
          <a:avLst>
            <a:gd name="adj1" fmla="val 9963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28</xdr:row>
      <xdr:rowOff>220980</xdr:rowOff>
    </xdr:from>
    <xdr:to>
      <xdr:col>4</xdr:col>
      <xdr:colOff>83820</xdr:colOff>
      <xdr:row>29</xdr:row>
      <xdr:rowOff>100966</xdr:rowOff>
    </xdr:to>
    <xdr:cxnSp macro="">
      <xdr:nvCxnSpPr>
        <xdr:cNvPr id="70" name="Elbow Connector 69"/>
        <xdr:cNvCxnSpPr>
          <a:stCxn id="23" idx="6"/>
        </xdr:cNvCxnSpPr>
      </xdr:nvCxnSpPr>
      <xdr:spPr>
        <a:xfrm flipV="1">
          <a:off x="1043940" y="13502640"/>
          <a:ext cx="1996440" cy="794386"/>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464820</xdr:colOff>
      <xdr:row>26</xdr:row>
      <xdr:rowOff>822960</xdr:rowOff>
    </xdr:from>
    <xdr:to>
      <xdr:col>8</xdr:col>
      <xdr:colOff>228600</xdr:colOff>
      <xdr:row>28</xdr:row>
      <xdr:rowOff>15240</xdr:rowOff>
    </xdr:to>
    <xdr:cxnSp macro="">
      <xdr:nvCxnSpPr>
        <xdr:cNvPr id="74" name="Elbow Connector 73"/>
        <xdr:cNvCxnSpPr>
          <a:stCxn id="39" idx="2"/>
        </xdr:cNvCxnSpPr>
      </xdr:nvCxnSpPr>
      <xdr:spPr>
        <a:xfrm rot="10800000" flipV="1">
          <a:off x="4213860" y="12275820"/>
          <a:ext cx="1958340" cy="1021080"/>
        </a:xfrm>
        <a:prstGeom prst="bentConnector3">
          <a:avLst>
            <a:gd name="adj1" fmla="val 10019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281940</xdr:colOff>
      <xdr:row>27</xdr:row>
      <xdr:rowOff>457200</xdr:rowOff>
    </xdr:from>
    <xdr:to>
      <xdr:col>8</xdr:col>
      <xdr:colOff>228600</xdr:colOff>
      <xdr:row>27</xdr:row>
      <xdr:rowOff>579120</xdr:rowOff>
    </xdr:to>
    <xdr:cxnSp macro="">
      <xdr:nvCxnSpPr>
        <xdr:cNvPr id="79" name="Elbow Connector 78"/>
        <xdr:cNvCxnSpPr>
          <a:stCxn id="38" idx="2"/>
        </xdr:cNvCxnSpPr>
      </xdr:nvCxnSpPr>
      <xdr:spPr>
        <a:xfrm rot="10800000">
          <a:off x="5128260" y="12824460"/>
          <a:ext cx="1043940" cy="12192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967740</xdr:colOff>
      <xdr:row>5</xdr:row>
      <xdr:rowOff>373380</xdr:rowOff>
    </xdr:from>
    <xdr:to>
      <xdr:col>8</xdr:col>
      <xdr:colOff>327660</xdr:colOff>
      <xdr:row>5</xdr:row>
      <xdr:rowOff>830580</xdr:rowOff>
    </xdr:to>
    <xdr:sp macro="" textlink="">
      <xdr:nvSpPr>
        <xdr:cNvPr id="88" name="Oval 87"/>
        <xdr:cNvSpPr/>
      </xdr:nvSpPr>
      <xdr:spPr>
        <a:xfrm>
          <a:off x="5814060" y="27965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G</a:t>
          </a:r>
        </a:p>
      </xdr:txBody>
    </xdr:sp>
    <xdr:clientData/>
  </xdr:twoCellAnchor>
  <xdr:twoCellAnchor>
    <xdr:from>
      <xdr:col>7</xdr:col>
      <xdr:colOff>967740</xdr:colOff>
      <xdr:row>4</xdr:row>
      <xdr:rowOff>617220</xdr:rowOff>
    </xdr:from>
    <xdr:to>
      <xdr:col>8</xdr:col>
      <xdr:colOff>327660</xdr:colOff>
      <xdr:row>5</xdr:row>
      <xdr:rowOff>160020</xdr:rowOff>
    </xdr:to>
    <xdr:sp macro="" textlink="">
      <xdr:nvSpPr>
        <xdr:cNvPr id="89" name="Oval 88"/>
        <xdr:cNvSpPr/>
      </xdr:nvSpPr>
      <xdr:spPr>
        <a:xfrm>
          <a:off x="5814060" y="212598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F</a:t>
          </a:r>
        </a:p>
      </xdr:txBody>
    </xdr:sp>
    <xdr:clientData/>
  </xdr:twoCellAnchor>
  <xdr:twoCellAnchor>
    <xdr:from>
      <xdr:col>7</xdr:col>
      <xdr:colOff>967740</xdr:colOff>
      <xdr:row>6</xdr:row>
      <xdr:rowOff>144780</xdr:rowOff>
    </xdr:from>
    <xdr:to>
      <xdr:col>8</xdr:col>
      <xdr:colOff>327660</xdr:colOff>
      <xdr:row>6</xdr:row>
      <xdr:rowOff>601980</xdr:rowOff>
    </xdr:to>
    <xdr:sp macro="" textlink="">
      <xdr:nvSpPr>
        <xdr:cNvPr id="90" name="Oval 89"/>
        <xdr:cNvSpPr/>
      </xdr:nvSpPr>
      <xdr:spPr>
        <a:xfrm>
          <a:off x="5814060" y="348234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H</a:t>
          </a:r>
        </a:p>
      </xdr:txBody>
    </xdr:sp>
    <xdr:clientData/>
  </xdr:twoCellAnchor>
  <xdr:twoCellAnchor>
    <xdr:from>
      <xdr:col>6</xdr:col>
      <xdr:colOff>975360</xdr:colOff>
      <xdr:row>6</xdr:row>
      <xdr:rowOff>373380</xdr:rowOff>
    </xdr:from>
    <xdr:to>
      <xdr:col>7</xdr:col>
      <xdr:colOff>967740</xdr:colOff>
      <xdr:row>6</xdr:row>
      <xdr:rowOff>548640</xdr:rowOff>
    </xdr:to>
    <xdr:cxnSp macro="">
      <xdr:nvCxnSpPr>
        <xdr:cNvPr id="91" name="Elbow Connector 90"/>
        <xdr:cNvCxnSpPr>
          <a:stCxn id="90" idx="2"/>
        </xdr:cNvCxnSpPr>
      </xdr:nvCxnSpPr>
      <xdr:spPr>
        <a:xfrm rot="10800000" flipV="1">
          <a:off x="4724400" y="3710940"/>
          <a:ext cx="1089660" cy="175260"/>
        </a:xfrm>
        <a:prstGeom prst="bentConnector3">
          <a:avLst>
            <a:gd name="adj1" fmla="val 1923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967740</xdr:colOff>
      <xdr:row>6</xdr:row>
      <xdr:rowOff>809626</xdr:rowOff>
    </xdr:from>
    <xdr:to>
      <xdr:col>8</xdr:col>
      <xdr:colOff>327660</xdr:colOff>
      <xdr:row>7</xdr:row>
      <xdr:rowOff>352426</xdr:rowOff>
    </xdr:to>
    <xdr:sp macro="" textlink="">
      <xdr:nvSpPr>
        <xdr:cNvPr id="92" name="Oval 91"/>
        <xdr:cNvSpPr/>
      </xdr:nvSpPr>
      <xdr:spPr>
        <a:xfrm>
          <a:off x="5814060" y="4147186"/>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I</a:t>
          </a:r>
        </a:p>
      </xdr:txBody>
    </xdr:sp>
    <xdr:clientData/>
  </xdr:twoCellAnchor>
  <xdr:twoCellAnchor>
    <xdr:from>
      <xdr:col>6</xdr:col>
      <xdr:colOff>563880</xdr:colOff>
      <xdr:row>6</xdr:row>
      <xdr:rowOff>822960</xdr:rowOff>
    </xdr:from>
    <xdr:to>
      <xdr:col>7</xdr:col>
      <xdr:colOff>967740</xdr:colOff>
      <xdr:row>7</xdr:row>
      <xdr:rowOff>123826</xdr:rowOff>
    </xdr:to>
    <xdr:cxnSp macro="">
      <xdr:nvCxnSpPr>
        <xdr:cNvPr id="93" name="Elbow Connector 92"/>
        <xdr:cNvCxnSpPr>
          <a:stCxn id="92" idx="2"/>
        </xdr:cNvCxnSpPr>
      </xdr:nvCxnSpPr>
      <xdr:spPr>
        <a:xfrm rot="10800000">
          <a:off x="4312920" y="4160520"/>
          <a:ext cx="1501140" cy="215266"/>
        </a:xfrm>
        <a:prstGeom prst="bentConnector3">
          <a:avLst>
            <a:gd name="adj1" fmla="val 10025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754380</xdr:colOff>
      <xdr:row>4</xdr:row>
      <xdr:rowOff>845820</xdr:rowOff>
    </xdr:from>
    <xdr:to>
      <xdr:col>7</xdr:col>
      <xdr:colOff>967740</xdr:colOff>
      <xdr:row>5</xdr:row>
      <xdr:rowOff>426720</xdr:rowOff>
    </xdr:to>
    <xdr:cxnSp macro="">
      <xdr:nvCxnSpPr>
        <xdr:cNvPr id="94" name="Elbow Connector 93"/>
        <xdr:cNvCxnSpPr>
          <a:stCxn id="89" idx="2"/>
        </xdr:cNvCxnSpPr>
      </xdr:nvCxnSpPr>
      <xdr:spPr>
        <a:xfrm rot="10800000" flipV="1">
          <a:off x="4503420" y="2354580"/>
          <a:ext cx="1310640" cy="495300"/>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xdr:colOff>
      <xdr:row>5</xdr:row>
      <xdr:rowOff>381000</xdr:rowOff>
    </xdr:from>
    <xdr:to>
      <xdr:col>7</xdr:col>
      <xdr:colOff>967740</xdr:colOff>
      <xdr:row>5</xdr:row>
      <xdr:rowOff>601980</xdr:rowOff>
    </xdr:to>
    <xdr:cxnSp macro="">
      <xdr:nvCxnSpPr>
        <xdr:cNvPr id="95" name="Elbow Connector 94"/>
        <xdr:cNvCxnSpPr>
          <a:stCxn id="88" idx="2"/>
        </xdr:cNvCxnSpPr>
      </xdr:nvCxnSpPr>
      <xdr:spPr>
        <a:xfrm rot="10800000">
          <a:off x="4869180" y="2804160"/>
          <a:ext cx="944880" cy="220980"/>
        </a:xfrm>
        <a:prstGeom prst="bentConnector3">
          <a:avLst>
            <a:gd name="adj1" fmla="val 18548"/>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5</xdr:row>
      <xdr:rowOff>228600</xdr:rowOff>
    </xdr:from>
    <xdr:to>
      <xdr:col>6</xdr:col>
      <xdr:colOff>205740</xdr:colOff>
      <xdr:row>5</xdr:row>
      <xdr:rowOff>228600</xdr:rowOff>
    </xdr:to>
    <xdr:cxnSp macro="">
      <xdr:nvCxnSpPr>
        <xdr:cNvPr id="100" name="Straight Arrow Connector 99"/>
        <xdr:cNvCxnSpPr>
          <a:stCxn id="25" idx="6"/>
        </xdr:cNvCxnSpPr>
      </xdr:nvCxnSpPr>
      <xdr:spPr>
        <a:xfrm>
          <a:off x="1043940" y="2651760"/>
          <a:ext cx="291084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68580</xdr:colOff>
      <xdr:row>6</xdr:row>
      <xdr:rowOff>53340</xdr:rowOff>
    </xdr:from>
    <xdr:to>
      <xdr:col>4</xdr:col>
      <xdr:colOff>121920</xdr:colOff>
      <xdr:row>6</xdr:row>
      <xdr:rowOff>53340</xdr:rowOff>
    </xdr:to>
    <xdr:cxnSp macro="">
      <xdr:nvCxnSpPr>
        <xdr:cNvPr id="114" name="Straight Arrow Connector 113"/>
        <xdr:cNvCxnSpPr/>
      </xdr:nvCxnSpPr>
      <xdr:spPr>
        <a:xfrm>
          <a:off x="1051560" y="3390900"/>
          <a:ext cx="2026920" cy="0"/>
        </a:xfrm>
        <a:prstGeom prst="straightConnector1">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60960</xdr:colOff>
      <xdr:row>6</xdr:row>
      <xdr:rowOff>365760</xdr:rowOff>
    </xdr:from>
    <xdr:to>
      <xdr:col>3</xdr:col>
      <xdr:colOff>1737360</xdr:colOff>
      <xdr:row>6</xdr:row>
      <xdr:rowOff>664846</xdr:rowOff>
    </xdr:to>
    <xdr:cxnSp macro="">
      <xdr:nvCxnSpPr>
        <xdr:cNvPr id="118" name="Elbow Connector 117"/>
        <xdr:cNvCxnSpPr>
          <a:stCxn id="29" idx="6"/>
        </xdr:cNvCxnSpPr>
      </xdr:nvCxnSpPr>
      <xdr:spPr>
        <a:xfrm flipV="1">
          <a:off x="1043940" y="3703320"/>
          <a:ext cx="1676400" cy="299086"/>
        </a:xfrm>
        <a:prstGeom prst="bentConnector3">
          <a:avLst>
            <a:gd name="adj1" fmla="val 10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3</xdr:col>
      <xdr:colOff>1415143</xdr:colOff>
      <xdr:row>26</xdr:row>
      <xdr:rowOff>42671</xdr:rowOff>
    </xdr:to>
    <xdr:pic>
      <xdr:nvPicPr>
        <xdr:cNvPr id="2" name="Content Placeholder 10"/>
        <xdr:cNvPicPr>
          <a:picLocks noGrp="1"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609600" y="9105900"/>
          <a:ext cx="1826623" cy="499872"/>
        </a:xfrm>
        <a:prstGeom prst="rect">
          <a:avLst/>
        </a:prstGeom>
      </xdr:spPr>
    </xdr:pic>
    <xdr:clientData/>
  </xdr:twoCellAnchor>
  <xdr:oneCellAnchor>
    <xdr:from>
      <xdr:col>2</xdr:col>
      <xdr:colOff>0</xdr:colOff>
      <xdr:row>51</xdr:row>
      <xdr:rowOff>0</xdr:rowOff>
    </xdr:from>
    <xdr:ext cx="1826623" cy="499872"/>
    <xdr:pic>
      <xdr:nvPicPr>
        <xdr:cNvPr id="3"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9144000"/>
          <a:ext cx="1826623" cy="499872"/>
        </a:xfrm>
        <a:prstGeom prst="rect">
          <a:avLst/>
        </a:prstGeom>
      </xdr:spPr>
    </xdr:pic>
    <xdr:clientData/>
  </xdr:oneCellAnchor>
  <xdr:oneCellAnchor>
    <xdr:from>
      <xdr:col>2</xdr:col>
      <xdr:colOff>0</xdr:colOff>
      <xdr:row>79</xdr:row>
      <xdr:rowOff>0</xdr:rowOff>
    </xdr:from>
    <xdr:ext cx="1826623" cy="499872"/>
    <xdr:pic>
      <xdr:nvPicPr>
        <xdr:cNvPr id="4" name="Content Placeholder 10"/>
        <xdr:cNvPicPr>
          <a:picLocks noGrp="1"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609600" y="18973800"/>
          <a:ext cx="1826623" cy="499872"/>
        </a:xfrm>
        <a:prstGeom prst="rect">
          <a:avLst/>
        </a:prstGeom>
      </xdr:spPr>
    </xdr:pic>
    <xdr:clientData/>
  </xdr:oneCellAnchor>
  <xdr:twoCellAnchor>
    <xdr:from>
      <xdr:col>6</xdr:col>
      <xdr:colOff>876300</xdr:colOff>
      <xdr:row>4</xdr:row>
      <xdr:rowOff>121920</xdr:rowOff>
    </xdr:from>
    <xdr:to>
      <xdr:col>9</xdr:col>
      <xdr:colOff>325180</xdr:colOff>
      <xdr:row>7</xdr:row>
      <xdr:rowOff>762000</xdr:rowOff>
    </xdr:to>
    <xdr:grpSp>
      <xdr:nvGrpSpPr>
        <xdr:cNvPr id="41" name="Group 40"/>
        <xdr:cNvGrpSpPr/>
      </xdr:nvGrpSpPr>
      <xdr:grpSpPr>
        <a:xfrm>
          <a:off x="4625340" y="1630680"/>
          <a:ext cx="2740720" cy="3383280"/>
          <a:chOff x="4625340" y="1630680"/>
          <a:chExt cx="2740720" cy="3383280"/>
        </a:xfrm>
      </xdr:grpSpPr>
      <xdr:pic>
        <xdr:nvPicPr>
          <xdr:cNvPr id="8" name="Picture 7"/>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4884628" y="2118360"/>
            <a:ext cx="2222145" cy="2743200"/>
          </a:xfrm>
          <a:prstGeom prst="rect">
            <a:avLst/>
          </a:prstGeom>
        </xdr:spPr>
      </xdr:pic>
      <xdr:sp macro="" textlink="">
        <xdr:nvSpPr>
          <xdr:cNvPr id="10" name="Rounded Rectangle 9"/>
          <xdr:cNvSpPr>
            <a:spLocks noChangeAspect="1"/>
          </xdr:cNvSpPr>
        </xdr:nvSpPr>
        <xdr:spPr>
          <a:xfrm>
            <a:off x="4625340" y="1630680"/>
            <a:ext cx="2740720" cy="3383280"/>
          </a:xfrm>
          <a:prstGeom prst="roundRect">
            <a:avLst/>
          </a:prstGeom>
          <a:noFill/>
          <a:ln w="19050">
            <a:solidFill>
              <a:srgbClr val="DB63F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400" b="1">
                <a:solidFill>
                  <a:srgbClr val="DB63F3"/>
                </a:solidFill>
                <a:latin typeface="Tw Cen MT" panose="020B0602020104020603" pitchFamily="34" charset="0"/>
              </a:rPr>
              <a:t>PLAN VIEW</a:t>
            </a:r>
          </a:p>
        </xdr:txBody>
      </xdr:sp>
    </xdr:grpSp>
    <xdr:clientData/>
  </xdr:twoCellAnchor>
  <xdr:twoCellAnchor>
    <xdr:from>
      <xdr:col>6</xdr:col>
      <xdr:colOff>845820</xdr:colOff>
      <xdr:row>31</xdr:row>
      <xdr:rowOff>121920</xdr:rowOff>
    </xdr:from>
    <xdr:to>
      <xdr:col>9</xdr:col>
      <xdr:colOff>393905</xdr:colOff>
      <xdr:row>34</xdr:row>
      <xdr:rowOff>762000</xdr:rowOff>
    </xdr:to>
    <xdr:grpSp>
      <xdr:nvGrpSpPr>
        <xdr:cNvPr id="42" name="Group 41"/>
        <xdr:cNvGrpSpPr/>
      </xdr:nvGrpSpPr>
      <xdr:grpSpPr>
        <a:xfrm>
          <a:off x="4594860" y="11551920"/>
          <a:ext cx="2839925" cy="3383280"/>
          <a:chOff x="4594860" y="11551920"/>
          <a:chExt cx="2839925" cy="3383280"/>
        </a:xfrm>
      </xdr:grpSpPr>
      <xdr:pic>
        <xdr:nvPicPr>
          <xdr:cNvPr id="14" name="Picture 13"/>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val="0"/>
              </a:ext>
            </a:extLst>
          </a:blip>
          <a:srcRect l="55293"/>
          <a:stretch/>
        </xdr:blipFill>
        <xdr:spPr>
          <a:xfrm>
            <a:off x="4864404" y="12039600"/>
            <a:ext cx="2300837" cy="2743200"/>
          </a:xfrm>
          <a:prstGeom prst="rect">
            <a:avLst/>
          </a:prstGeom>
        </xdr:spPr>
      </xdr:pic>
      <xdr:sp macro="" textlink="">
        <xdr:nvSpPr>
          <xdr:cNvPr id="16" name="Rounded Rectangle 15"/>
          <xdr:cNvSpPr>
            <a:spLocks noChangeAspect="1"/>
          </xdr:cNvSpPr>
        </xdr:nvSpPr>
        <xdr:spPr>
          <a:xfrm>
            <a:off x="4594860" y="11551920"/>
            <a:ext cx="2839925" cy="3383280"/>
          </a:xfrm>
          <a:prstGeom prst="roundRect">
            <a:avLst/>
          </a:prstGeom>
          <a:noFill/>
          <a:ln w="19050">
            <a:solidFill>
              <a:srgbClr val="DB63F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600" b="1">
                <a:solidFill>
                  <a:srgbClr val="DB63F3"/>
                </a:solidFill>
                <a:latin typeface="Tw Cen MT" panose="020B0602020104020603" pitchFamily="34" charset="0"/>
              </a:rPr>
              <a:t>PLAN VIEW</a:t>
            </a:r>
          </a:p>
        </xdr:txBody>
      </xdr:sp>
    </xdr:grpSp>
    <xdr:clientData/>
  </xdr:twoCellAnchor>
  <xdr:twoCellAnchor>
    <xdr:from>
      <xdr:col>5</xdr:col>
      <xdr:colOff>213360</xdr:colOff>
      <xdr:row>58</xdr:row>
      <xdr:rowOff>121920</xdr:rowOff>
    </xdr:from>
    <xdr:to>
      <xdr:col>8</xdr:col>
      <xdr:colOff>719730</xdr:colOff>
      <xdr:row>61</xdr:row>
      <xdr:rowOff>762000</xdr:rowOff>
    </xdr:to>
    <xdr:grpSp>
      <xdr:nvGrpSpPr>
        <xdr:cNvPr id="44" name="Group 43"/>
        <xdr:cNvGrpSpPr/>
      </xdr:nvGrpSpPr>
      <xdr:grpSpPr>
        <a:xfrm>
          <a:off x="3566160" y="21473160"/>
          <a:ext cx="3097170" cy="3383280"/>
          <a:chOff x="3642360" y="21473160"/>
          <a:chExt cx="3097170" cy="3383280"/>
        </a:xfrm>
      </xdr:grpSpPr>
      <xdr:pic>
        <xdr:nvPicPr>
          <xdr:cNvPr id="21" name="Picture 20"/>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3935888" y="21854160"/>
            <a:ext cx="2510115" cy="2743200"/>
          </a:xfrm>
          <a:prstGeom prst="rect">
            <a:avLst/>
          </a:prstGeom>
        </xdr:spPr>
      </xdr:pic>
      <xdr:sp macro="" textlink="">
        <xdr:nvSpPr>
          <xdr:cNvPr id="22" name="Rounded Rectangle 21"/>
          <xdr:cNvSpPr>
            <a:spLocks noChangeAspect="1"/>
          </xdr:cNvSpPr>
        </xdr:nvSpPr>
        <xdr:spPr>
          <a:xfrm>
            <a:off x="3642360" y="21473160"/>
            <a:ext cx="3097170" cy="3383280"/>
          </a:xfrm>
          <a:prstGeom prst="roundRect">
            <a:avLst>
              <a:gd name="adj" fmla="val 12484"/>
            </a:avLst>
          </a:prstGeom>
          <a:noFill/>
          <a:ln w="19050">
            <a:solidFill>
              <a:srgbClr val="DB63F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tIns="91440" bIns="91440" rtlCol="0" anchor="t"/>
          <a:lstStyle/>
          <a:p>
            <a:pPr algn="l"/>
            <a:r>
              <a:rPr lang="en-CA" sz="1400" b="1">
                <a:solidFill>
                  <a:srgbClr val="DB63F3"/>
                </a:solidFill>
                <a:latin typeface="Tw Cen MT" panose="020B0602020104020603" pitchFamily="34" charset="0"/>
              </a:rPr>
              <a:t>PLAN VIEW</a:t>
            </a:r>
          </a:p>
        </xdr:txBody>
      </xdr:sp>
    </xdr:grpSp>
    <xdr:clientData/>
  </xdr:twoCellAnchor>
  <xdr:twoCellAnchor>
    <xdr:from>
      <xdr:col>3</xdr:col>
      <xdr:colOff>7</xdr:colOff>
      <xdr:row>58</xdr:row>
      <xdr:rowOff>129540</xdr:rowOff>
    </xdr:from>
    <xdr:to>
      <xdr:col>5</xdr:col>
      <xdr:colOff>66146</xdr:colOff>
      <xdr:row>61</xdr:row>
      <xdr:rowOff>769620</xdr:rowOff>
    </xdr:to>
    <xdr:sp macro="" textlink="">
      <xdr:nvSpPr>
        <xdr:cNvPr id="23" name="Rounded Rectangle 22"/>
        <xdr:cNvSpPr>
          <a:spLocks noChangeAspect="1"/>
        </xdr:cNvSpPr>
      </xdr:nvSpPr>
      <xdr:spPr>
        <a:xfrm>
          <a:off x="982987" y="21480780"/>
          <a:ext cx="2435959" cy="3383280"/>
        </a:xfrm>
        <a:prstGeom prst="roundRect">
          <a:avLst>
            <a:gd name="adj" fmla="val 15741"/>
          </a:avLst>
        </a:prstGeom>
        <a:blipFill>
          <a:blip xmlns:r="http://schemas.openxmlformats.org/officeDocument/2006/relationships" r:embed="rId6"/>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0</xdr:colOff>
      <xdr:row>59</xdr:row>
      <xdr:rowOff>670560</xdr:rowOff>
    </xdr:from>
    <xdr:to>
      <xdr:col>3</xdr:col>
      <xdr:colOff>60960</xdr:colOff>
      <xdr:row>60</xdr:row>
      <xdr:rowOff>213360</xdr:rowOff>
    </xdr:to>
    <xdr:sp macro="" textlink="">
      <xdr:nvSpPr>
        <xdr:cNvPr id="27" name="Oval 26"/>
        <xdr:cNvSpPr/>
      </xdr:nvSpPr>
      <xdr:spPr>
        <a:xfrm>
          <a:off x="586740" y="229362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lientData/>
  </xdr:twoCellAnchor>
  <xdr:twoCellAnchor>
    <xdr:from>
      <xdr:col>3</xdr:col>
      <xdr:colOff>60960</xdr:colOff>
      <xdr:row>59</xdr:row>
      <xdr:rowOff>896914</xdr:rowOff>
    </xdr:from>
    <xdr:to>
      <xdr:col>3</xdr:col>
      <xdr:colOff>487680</xdr:colOff>
      <xdr:row>59</xdr:row>
      <xdr:rowOff>899160</xdr:rowOff>
    </xdr:to>
    <xdr:cxnSp macro="">
      <xdr:nvCxnSpPr>
        <xdr:cNvPr id="30" name="Straight Connector 29"/>
        <xdr:cNvCxnSpPr>
          <a:stCxn id="27" idx="6"/>
        </xdr:cNvCxnSpPr>
      </xdr:nvCxnSpPr>
      <xdr:spPr>
        <a:xfrm flipV="1">
          <a:off x="1043940" y="23162554"/>
          <a:ext cx="426720" cy="2246"/>
        </a:xfrm>
        <a:prstGeom prst="line">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31</xdr:row>
      <xdr:rowOff>121920</xdr:rowOff>
    </xdr:from>
    <xdr:to>
      <xdr:col>6</xdr:col>
      <xdr:colOff>697677</xdr:colOff>
      <xdr:row>34</xdr:row>
      <xdr:rowOff>762000</xdr:rowOff>
    </xdr:to>
    <xdr:grpSp>
      <xdr:nvGrpSpPr>
        <xdr:cNvPr id="43" name="Group 42"/>
        <xdr:cNvGrpSpPr/>
      </xdr:nvGrpSpPr>
      <xdr:grpSpPr>
        <a:xfrm>
          <a:off x="586740" y="11551920"/>
          <a:ext cx="3859977" cy="3383280"/>
          <a:chOff x="586740" y="11551920"/>
          <a:chExt cx="3859977" cy="3383280"/>
        </a:xfrm>
      </xdr:grpSpPr>
      <xdr:sp macro="" textlink="">
        <xdr:nvSpPr>
          <xdr:cNvPr id="13" name="Rounded Rectangle 12"/>
          <xdr:cNvSpPr>
            <a:spLocks noChangeAspect="1"/>
          </xdr:cNvSpPr>
        </xdr:nvSpPr>
        <xdr:spPr>
          <a:xfrm>
            <a:off x="982980" y="11551920"/>
            <a:ext cx="3463737" cy="3383280"/>
          </a:xfrm>
          <a:prstGeom prst="roundRect">
            <a:avLst/>
          </a:prstGeom>
          <a:blipFill>
            <a:blip xmlns:r="http://schemas.openxmlformats.org/officeDocument/2006/relationships" r:embed="rId7"/>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20" name="Oval 19"/>
          <xdr:cNvSpPr/>
        </xdr:nvSpPr>
        <xdr:spPr>
          <a:xfrm>
            <a:off x="586740" y="130149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24" name="Oval 23"/>
          <xdr:cNvSpPr/>
        </xdr:nvSpPr>
        <xdr:spPr>
          <a:xfrm>
            <a:off x="586740" y="1234440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25" name="Elbow Connector 24"/>
          <xdr:cNvCxnSpPr>
            <a:stCxn id="24" idx="6"/>
          </xdr:cNvCxnSpPr>
        </xdr:nvCxnSpPr>
        <xdr:spPr>
          <a:xfrm>
            <a:off x="1043940" y="12573000"/>
            <a:ext cx="2446020" cy="1196340"/>
          </a:xfrm>
          <a:prstGeom prst="bentConnector3">
            <a:avLst>
              <a:gd name="adj1" fmla="val 100274"/>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1" name="Elbow Connector 30"/>
          <xdr:cNvCxnSpPr>
            <a:stCxn id="20" idx="6"/>
          </xdr:cNvCxnSpPr>
        </xdr:nvCxnSpPr>
        <xdr:spPr>
          <a:xfrm>
            <a:off x="1043940" y="13243560"/>
            <a:ext cx="1150620" cy="51054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4</xdr:row>
      <xdr:rowOff>121920</xdr:rowOff>
    </xdr:from>
    <xdr:to>
      <xdr:col>6</xdr:col>
      <xdr:colOff>724621</xdr:colOff>
      <xdr:row>7</xdr:row>
      <xdr:rowOff>762000</xdr:rowOff>
    </xdr:to>
    <xdr:grpSp>
      <xdr:nvGrpSpPr>
        <xdr:cNvPr id="40" name="Group 39"/>
        <xdr:cNvGrpSpPr/>
      </xdr:nvGrpSpPr>
      <xdr:grpSpPr>
        <a:xfrm>
          <a:off x="586740" y="1630680"/>
          <a:ext cx="3886921" cy="3383280"/>
          <a:chOff x="586740" y="1630680"/>
          <a:chExt cx="3886921" cy="3383280"/>
        </a:xfrm>
      </xdr:grpSpPr>
      <xdr:sp macro="" textlink="">
        <xdr:nvSpPr>
          <xdr:cNvPr id="7" name="Rounded Rectangle 6"/>
          <xdr:cNvSpPr>
            <a:spLocks noChangeAspect="1"/>
          </xdr:cNvSpPr>
        </xdr:nvSpPr>
        <xdr:spPr>
          <a:xfrm>
            <a:off x="982980" y="1630680"/>
            <a:ext cx="3490681" cy="3383280"/>
          </a:xfrm>
          <a:prstGeom prst="roundRect">
            <a:avLst/>
          </a:prstGeom>
          <a:blipFill>
            <a:blip xmlns:r="http://schemas.openxmlformats.org/officeDocument/2006/relationships" r:embed="rId8"/>
            <a:stretch>
              <a:fillRect l="1" t="377" r="-22" b="721"/>
            </a:stretch>
          </a:blip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5" name="Oval 14"/>
          <xdr:cNvSpPr/>
        </xdr:nvSpPr>
        <xdr:spPr>
          <a:xfrm>
            <a:off x="586740" y="309372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B</a:t>
            </a:r>
          </a:p>
        </xdr:txBody>
      </xdr:sp>
      <xdr:sp macro="" textlink="">
        <xdr:nvSpPr>
          <xdr:cNvPr id="17" name="Oval 16"/>
          <xdr:cNvSpPr/>
        </xdr:nvSpPr>
        <xdr:spPr>
          <a:xfrm>
            <a:off x="586740" y="2423160"/>
            <a:ext cx="457200" cy="457200"/>
          </a:xfrm>
          <a:prstGeom prst="ellipse">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lumMod val="75000"/>
                    <a:lumOff val="25000"/>
                  </a:schemeClr>
                </a:solidFill>
                <a:latin typeface="Tw Cen MT" panose="020B0602020104020603" pitchFamily="34" charset="0"/>
              </a:rPr>
              <a:t>A</a:t>
            </a:r>
          </a:p>
        </xdr:txBody>
      </xdr:sp>
      <xdr:cxnSp macro="">
        <xdr:nvCxnSpPr>
          <xdr:cNvPr id="18" name="Elbow Connector 17"/>
          <xdr:cNvCxnSpPr>
            <a:stCxn id="17" idx="6"/>
          </xdr:cNvCxnSpPr>
        </xdr:nvCxnSpPr>
        <xdr:spPr>
          <a:xfrm>
            <a:off x="1043940" y="2651760"/>
            <a:ext cx="2506980" cy="1615440"/>
          </a:xfrm>
          <a:prstGeom prst="bentConnector3">
            <a:avLst>
              <a:gd name="adj1" fmla="val 100456"/>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7" name="Elbow Connector 36"/>
          <xdr:cNvCxnSpPr>
            <a:stCxn id="15" idx="6"/>
          </xdr:cNvCxnSpPr>
        </xdr:nvCxnSpPr>
        <xdr:spPr>
          <a:xfrm>
            <a:off x="1043940" y="3322320"/>
            <a:ext cx="1363980" cy="701040"/>
          </a:xfrm>
          <a:prstGeom prst="bentConnector3">
            <a:avLst>
              <a:gd name="adj1" fmla="val 50000"/>
            </a:avLst>
          </a:prstGeom>
          <a:ln w="19050">
            <a:solidFill>
              <a:schemeClr val="tx1">
                <a:lumMod val="75000"/>
                <a:lumOff val="25000"/>
              </a:schemeClr>
            </a:solidFill>
            <a:prstDash val="sysDot"/>
            <a:tailEnd type="oval"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tabSelected="1" zoomScaleNormal="100" workbookViewId="0"/>
  </sheetViews>
  <sheetFormatPr defaultRowHeight="14.4" x14ac:dyDescent="0.3"/>
  <cols>
    <col min="1" max="1" width="5.77734375" style="280" customWidth="1"/>
    <col min="2" max="3" width="2.77734375" style="280" customWidth="1"/>
    <col min="4" max="4" width="36.77734375" style="280" customWidth="1"/>
    <col min="5" max="5" width="14.77734375" style="280" customWidth="1"/>
    <col min="6" max="6" width="5.77734375" style="280" customWidth="1"/>
    <col min="7" max="8" width="2.77734375" style="280" customWidth="1"/>
    <col min="9" max="9" width="50.77734375" style="280" customWidth="1"/>
    <col min="10" max="10" width="5.77734375" style="280" customWidth="1"/>
    <col min="11" max="12" width="2.77734375" style="280" customWidth="1"/>
    <col min="13" max="13" width="50.77734375" style="280" customWidth="1"/>
    <col min="14" max="14" width="5.77734375" style="280" customWidth="1"/>
  </cols>
  <sheetData>
    <row r="1" spans="1:10" ht="35.25" customHeight="1" x14ac:dyDescent="0.3">
      <c r="A1" s="357"/>
      <c r="B1" s="292"/>
      <c r="C1" s="292"/>
      <c r="D1" s="292"/>
    </row>
    <row r="2" spans="1:10" ht="32.4" customHeight="1" x14ac:dyDescent="0.3">
      <c r="A2" s="893" t="s">
        <v>496</v>
      </c>
      <c r="B2" s="313"/>
      <c r="C2" s="293" t="s">
        <v>359</v>
      </c>
      <c r="D2" s="292"/>
      <c r="F2" s="298"/>
      <c r="G2" s="298"/>
      <c r="H2" s="298"/>
    </row>
    <row r="3" spans="1:10" ht="25.8" customHeight="1" x14ac:dyDescent="0.3">
      <c r="A3" s="848"/>
      <c r="B3" s="313"/>
      <c r="C3" s="293"/>
      <c r="D3" s="292"/>
    </row>
    <row r="4" spans="1:10" ht="15" customHeight="1" thickBot="1" x14ac:dyDescent="0.35">
      <c r="A4" s="848"/>
      <c r="B4" s="313"/>
      <c r="C4" s="310"/>
      <c r="D4" s="314" t="s">
        <v>380</v>
      </c>
      <c r="E4" s="346"/>
      <c r="F4" s="311"/>
      <c r="G4" s="311"/>
      <c r="H4" s="304"/>
      <c r="I4" s="305" t="s">
        <v>83</v>
      </c>
      <c r="J4" s="311"/>
    </row>
    <row r="5" spans="1:10" ht="15" customHeight="1" x14ac:dyDescent="0.3">
      <c r="A5" s="848"/>
      <c r="B5" s="313"/>
      <c r="C5" s="292"/>
      <c r="D5" s="843" t="s">
        <v>377</v>
      </c>
      <c r="I5" s="845" t="s">
        <v>85</v>
      </c>
      <c r="J5" s="283"/>
    </row>
    <row r="6" spans="1:10" ht="15" customHeight="1" x14ac:dyDescent="0.3">
      <c r="A6" s="848"/>
      <c r="B6" s="313"/>
      <c r="C6" s="292"/>
      <c r="D6" s="843" t="s">
        <v>379</v>
      </c>
      <c r="I6" s="845" t="s">
        <v>86</v>
      </c>
      <c r="J6" s="283"/>
    </row>
    <row r="7" spans="1:10" ht="15" customHeight="1" x14ac:dyDescent="0.3">
      <c r="A7" s="848"/>
      <c r="B7" s="313"/>
      <c r="C7" s="292"/>
      <c r="D7" s="292"/>
      <c r="I7" s="845" t="s">
        <v>87</v>
      </c>
      <c r="J7" s="283"/>
    </row>
    <row r="8" spans="1:10" ht="15" customHeight="1" thickBot="1" x14ac:dyDescent="0.35">
      <c r="A8" s="848"/>
      <c r="B8" s="313"/>
      <c r="C8" s="301"/>
      <c r="D8" s="315" t="s">
        <v>332</v>
      </c>
      <c r="E8" s="347"/>
      <c r="F8" s="311"/>
      <c r="G8" s="311"/>
      <c r="H8" s="281"/>
      <c r="I8" s="845" t="s">
        <v>88</v>
      </c>
      <c r="J8" s="283"/>
    </row>
    <row r="9" spans="1:10" ht="15" customHeight="1" x14ac:dyDescent="0.3">
      <c r="A9" s="848"/>
      <c r="B9" s="313"/>
      <c r="C9" s="292"/>
      <c r="D9" s="843" t="s">
        <v>381</v>
      </c>
      <c r="I9" s="845" t="s">
        <v>378</v>
      </c>
    </row>
    <row r="10" spans="1:10" ht="15" customHeight="1" x14ac:dyDescent="0.3">
      <c r="A10" s="848"/>
      <c r="B10" s="313"/>
      <c r="C10" s="296"/>
      <c r="D10" s="843" t="s">
        <v>382</v>
      </c>
      <c r="I10" s="845" t="s">
        <v>92</v>
      </c>
      <c r="J10" s="283"/>
    </row>
    <row r="11" spans="1:10" ht="15" customHeight="1" x14ac:dyDescent="0.3">
      <c r="A11" s="848"/>
      <c r="B11" s="313"/>
      <c r="C11" s="292"/>
      <c r="D11" s="843" t="s">
        <v>471</v>
      </c>
      <c r="I11" s="845" t="s">
        <v>93</v>
      </c>
      <c r="J11" s="283"/>
    </row>
    <row r="12" spans="1:10" ht="15" customHeight="1" x14ac:dyDescent="0.3">
      <c r="A12" s="848"/>
      <c r="B12" s="313"/>
      <c r="C12" s="292"/>
      <c r="D12" s="844" t="s">
        <v>474</v>
      </c>
      <c r="I12" s="845" t="s">
        <v>94</v>
      </c>
      <c r="J12" s="283"/>
    </row>
    <row r="13" spans="1:10" ht="15" customHeight="1" x14ac:dyDescent="0.3">
      <c r="A13" s="848"/>
      <c r="B13" s="313"/>
      <c r="C13" s="292"/>
      <c r="D13" s="843" t="s">
        <v>354</v>
      </c>
      <c r="E13" s="283"/>
      <c r="I13" s="846" t="s">
        <v>176</v>
      </c>
      <c r="J13" s="284"/>
    </row>
    <row r="14" spans="1:10" ht="15" customHeight="1" x14ac:dyDescent="0.3">
      <c r="A14" s="848"/>
      <c r="B14" s="313"/>
      <c r="C14" s="292"/>
      <c r="D14" s="843" t="s">
        <v>390</v>
      </c>
      <c r="E14" s="283"/>
      <c r="F14" s="283"/>
      <c r="G14" s="283"/>
      <c r="H14" s="283"/>
      <c r="I14" s="846" t="s">
        <v>178</v>
      </c>
      <c r="J14" s="284"/>
    </row>
    <row r="15" spans="1:10" ht="15" customHeight="1" x14ac:dyDescent="0.3">
      <c r="A15" s="848"/>
      <c r="B15" s="313"/>
      <c r="C15" s="294"/>
      <c r="D15" s="843" t="s">
        <v>355</v>
      </c>
      <c r="E15" s="283"/>
      <c r="F15" s="283"/>
      <c r="G15" s="283"/>
      <c r="H15" s="283"/>
      <c r="I15" s="846" t="s">
        <v>179</v>
      </c>
      <c r="J15" s="284"/>
    </row>
    <row r="16" spans="1:10" ht="15" customHeight="1" x14ac:dyDescent="0.3">
      <c r="A16" s="848"/>
      <c r="B16" s="292"/>
      <c r="C16" s="292"/>
      <c r="D16" s="843" t="s">
        <v>356</v>
      </c>
      <c r="E16" s="283"/>
      <c r="F16" s="283"/>
      <c r="G16" s="283"/>
      <c r="H16" s="283"/>
      <c r="I16" s="846" t="s">
        <v>188</v>
      </c>
      <c r="J16" s="284"/>
    </row>
    <row r="17" spans="1:10" ht="15" customHeight="1" x14ac:dyDescent="0.3">
      <c r="A17" s="848"/>
      <c r="B17" s="292"/>
      <c r="C17" s="292"/>
      <c r="D17" s="292"/>
      <c r="F17" s="283"/>
      <c r="G17" s="283"/>
      <c r="H17" s="283"/>
      <c r="I17" s="846" t="s">
        <v>191</v>
      </c>
      <c r="J17" s="284"/>
    </row>
    <row r="18" spans="1:10" ht="15" customHeight="1" thickBot="1" x14ac:dyDescent="0.35">
      <c r="A18" s="848"/>
      <c r="B18" s="292"/>
      <c r="C18" s="302"/>
      <c r="D18" s="316" t="s">
        <v>74</v>
      </c>
      <c r="E18" s="348"/>
      <c r="I18" s="846" t="s">
        <v>194</v>
      </c>
      <c r="J18" s="284"/>
    </row>
    <row r="19" spans="1:10" ht="15" customHeight="1" x14ac:dyDescent="0.3">
      <c r="A19" s="848"/>
      <c r="B19" s="292"/>
      <c r="C19" s="292"/>
      <c r="D19" s="843" t="s">
        <v>75</v>
      </c>
      <c r="E19" s="283"/>
      <c r="F19" s="312"/>
      <c r="G19" s="312"/>
      <c r="H19" s="299"/>
      <c r="I19" s="845" t="s">
        <v>89</v>
      </c>
      <c r="J19" s="283"/>
    </row>
    <row r="20" spans="1:10" ht="15" customHeight="1" x14ac:dyDescent="0.3">
      <c r="A20" s="848"/>
      <c r="B20" s="292"/>
      <c r="C20" s="292"/>
      <c r="D20" s="843" t="s">
        <v>76</v>
      </c>
      <c r="E20" s="283"/>
      <c r="F20" s="283"/>
      <c r="G20" s="283"/>
      <c r="H20" s="283"/>
      <c r="I20" s="845" t="s">
        <v>90</v>
      </c>
      <c r="J20" s="283"/>
    </row>
    <row r="21" spans="1:10" ht="15" customHeight="1" x14ac:dyDescent="0.3">
      <c r="A21" s="848"/>
      <c r="B21" s="292"/>
      <c r="C21" s="294"/>
      <c r="D21" s="843" t="s">
        <v>77</v>
      </c>
      <c r="E21" s="283"/>
      <c r="F21" s="283"/>
      <c r="G21" s="283"/>
      <c r="H21" s="283"/>
      <c r="I21" s="845" t="s">
        <v>91</v>
      </c>
      <c r="J21" s="283"/>
    </row>
    <row r="22" spans="1:10" ht="15" customHeight="1" x14ac:dyDescent="0.3">
      <c r="A22" s="848"/>
      <c r="B22" s="292"/>
      <c r="C22" s="292"/>
      <c r="D22" s="843" t="s">
        <v>78</v>
      </c>
      <c r="E22" s="283"/>
      <c r="F22" s="283"/>
      <c r="G22" s="283"/>
      <c r="H22" s="283"/>
    </row>
    <row r="23" spans="1:10" ht="15" customHeight="1" thickBot="1" x14ac:dyDescent="0.35">
      <c r="A23" s="848"/>
      <c r="B23" s="292"/>
      <c r="C23" s="292"/>
      <c r="D23" s="292"/>
      <c r="F23" s="283"/>
      <c r="G23" s="283"/>
      <c r="H23" s="306"/>
      <c r="I23" s="307" t="s">
        <v>11</v>
      </c>
      <c r="J23" s="311"/>
    </row>
    <row r="24" spans="1:10" ht="15" customHeight="1" thickBot="1" x14ac:dyDescent="0.35">
      <c r="A24" s="848"/>
      <c r="B24" s="292"/>
      <c r="C24" s="303"/>
      <c r="D24" s="317" t="s">
        <v>383</v>
      </c>
      <c r="E24" s="349"/>
      <c r="I24" s="845" t="s">
        <v>99</v>
      </c>
      <c r="J24" s="283"/>
    </row>
    <row r="25" spans="1:10" ht="15" customHeight="1" x14ac:dyDescent="0.3">
      <c r="A25" s="848"/>
      <c r="B25" s="292"/>
      <c r="C25" s="292"/>
      <c r="D25" s="843" t="s">
        <v>80</v>
      </c>
      <c r="E25" s="283"/>
      <c r="F25" s="311"/>
      <c r="G25" s="311"/>
      <c r="H25" s="281"/>
      <c r="I25" s="846" t="s">
        <v>97</v>
      </c>
      <c r="J25" s="284"/>
    </row>
    <row r="26" spans="1:10" ht="15" customHeight="1" x14ac:dyDescent="0.3">
      <c r="A26" s="848"/>
      <c r="B26" s="292"/>
      <c r="C26" s="292"/>
      <c r="D26" s="843" t="s">
        <v>81</v>
      </c>
      <c r="E26" s="283"/>
      <c r="F26" s="283"/>
      <c r="G26" s="283"/>
      <c r="H26" s="283"/>
      <c r="I26" s="846" t="s">
        <v>98</v>
      </c>
      <c r="J26" s="284"/>
    </row>
    <row r="27" spans="1:10" ht="15" customHeight="1" x14ac:dyDescent="0.3">
      <c r="A27" s="848"/>
      <c r="B27" s="292"/>
      <c r="C27" s="292"/>
      <c r="D27" s="843" t="s">
        <v>82</v>
      </c>
      <c r="E27" s="283"/>
      <c r="F27" s="283"/>
      <c r="G27" s="283"/>
      <c r="H27" s="283"/>
      <c r="I27" s="846" t="s">
        <v>262</v>
      </c>
      <c r="J27" s="284"/>
    </row>
    <row r="28" spans="1:10" ht="15" customHeight="1" x14ac:dyDescent="0.3">
      <c r="A28" s="848"/>
      <c r="B28" s="292"/>
      <c r="C28" s="292"/>
      <c r="D28" s="843" t="s">
        <v>79</v>
      </c>
      <c r="E28" s="283"/>
      <c r="F28" s="283"/>
      <c r="G28" s="283"/>
      <c r="H28" s="283"/>
      <c r="I28" s="845" t="s">
        <v>391</v>
      </c>
      <c r="J28" s="283"/>
    </row>
    <row r="29" spans="1:10" ht="15" customHeight="1" x14ac:dyDescent="0.3">
      <c r="A29" s="848"/>
      <c r="B29" s="292"/>
      <c r="C29" s="292"/>
      <c r="D29" s="292"/>
      <c r="F29" s="283"/>
      <c r="G29" s="283"/>
      <c r="H29" s="283"/>
      <c r="I29" s="845" t="s">
        <v>392</v>
      </c>
      <c r="J29" s="283"/>
    </row>
    <row r="30" spans="1:10" ht="15" customHeight="1" x14ac:dyDescent="0.3">
      <c r="A30" s="848"/>
      <c r="B30" s="292"/>
      <c r="C30" s="292"/>
      <c r="D30" s="292"/>
      <c r="I30" s="845" t="s">
        <v>393</v>
      </c>
      <c r="J30" s="283"/>
    </row>
    <row r="31" spans="1:10" ht="15" customHeight="1" x14ac:dyDescent="0.3">
      <c r="A31" s="848"/>
      <c r="B31" s="292"/>
      <c r="C31" s="292"/>
      <c r="D31" s="292"/>
      <c r="I31" s="845" t="s">
        <v>394</v>
      </c>
      <c r="J31" s="283"/>
    </row>
    <row r="32" spans="1:10" ht="15" customHeight="1" x14ac:dyDescent="0.3">
      <c r="A32" s="848"/>
      <c r="B32" s="292"/>
      <c r="C32" s="292"/>
      <c r="D32" s="292"/>
      <c r="I32" s="845" t="s">
        <v>395</v>
      </c>
      <c r="J32" s="283"/>
    </row>
    <row r="33" spans="1:15" ht="15" customHeight="1" x14ac:dyDescent="0.3">
      <c r="A33" s="848"/>
      <c r="B33" s="292"/>
      <c r="C33" s="292"/>
      <c r="D33" s="292"/>
    </row>
    <row r="34" spans="1:15" ht="15" customHeight="1" thickBot="1" x14ac:dyDescent="0.35">
      <c r="A34" s="848"/>
      <c r="B34" s="292"/>
      <c r="C34" s="292"/>
      <c r="D34" s="292"/>
      <c r="H34" s="308"/>
      <c r="I34" s="309" t="s">
        <v>84</v>
      </c>
      <c r="J34" s="311"/>
    </row>
    <row r="35" spans="1:15" ht="15" customHeight="1" x14ac:dyDescent="0.3">
      <c r="A35" s="848"/>
      <c r="B35" s="292"/>
      <c r="C35" s="292"/>
      <c r="D35" s="292"/>
      <c r="I35" s="845" t="s">
        <v>95</v>
      </c>
      <c r="J35" s="283"/>
    </row>
    <row r="36" spans="1:15" ht="15" customHeight="1" x14ac:dyDescent="0.3">
      <c r="A36" s="848"/>
      <c r="B36" s="292"/>
      <c r="C36" s="292"/>
      <c r="D36" s="292"/>
      <c r="I36" s="845" t="s">
        <v>96</v>
      </c>
      <c r="J36" s="283"/>
    </row>
    <row r="37" spans="1:15" ht="15" customHeight="1" x14ac:dyDescent="0.3">
      <c r="A37" s="351"/>
      <c r="B37" s="292"/>
      <c r="C37" s="292"/>
      <c r="D37" s="292"/>
    </row>
    <row r="38" spans="1:15" ht="15" customHeight="1" x14ac:dyDescent="0.3">
      <c r="A38" s="351"/>
      <c r="B38" s="292"/>
      <c r="C38" s="292"/>
      <c r="D38" s="292"/>
    </row>
    <row r="39" spans="1:15" ht="15" customHeight="1" x14ac:dyDescent="0.3">
      <c r="A39" s="351"/>
      <c r="B39" s="292"/>
      <c r="C39" s="292"/>
      <c r="D39" s="292"/>
    </row>
    <row r="40" spans="1:15" ht="15" customHeight="1" x14ac:dyDescent="0.3">
      <c r="A40" s="351"/>
      <c r="B40" s="292"/>
      <c r="C40" s="292"/>
      <c r="D40" s="292"/>
    </row>
    <row r="41" spans="1:15" ht="15" customHeight="1" x14ac:dyDescent="0.3">
      <c r="A41" s="351"/>
      <c r="B41" s="292"/>
      <c r="C41" s="292"/>
      <c r="D41" s="292"/>
    </row>
    <row r="42" spans="1:15" ht="15" customHeight="1" x14ac:dyDescent="0.3">
      <c r="A42" s="351"/>
      <c r="B42" s="292"/>
      <c r="C42" s="292"/>
      <c r="D42" s="292"/>
    </row>
    <row r="43" spans="1:15" ht="15" customHeight="1" x14ac:dyDescent="0.3">
      <c r="A43" s="351"/>
      <c r="B43" s="292"/>
      <c r="C43" s="292"/>
      <c r="D43" s="292"/>
    </row>
    <row r="44" spans="1:15" ht="15" customHeight="1" x14ac:dyDescent="0.3">
      <c r="A44" s="351"/>
      <c r="B44" s="292"/>
      <c r="C44" s="292"/>
      <c r="D44" s="292"/>
    </row>
    <row r="45" spans="1:15" ht="15" customHeight="1" x14ac:dyDescent="0.3">
      <c r="A45" s="351"/>
      <c r="B45" s="292"/>
      <c r="C45" s="292"/>
      <c r="D45" s="292"/>
    </row>
    <row r="46" spans="1:15" ht="18" customHeight="1" x14ac:dyDescent="0.3">
      <c r="A46" s="351"/>
      <c r="B46" s="292"/>
      <c r="C46" s="292"/>
      <c r="D46" s="292"/>
    </row>
    <row r="47" spans="1:15" s="51" customFormat="1" ht="18" customHeight="1" x14ac:dyDescent="0.3">
      <c r="A47" s="351"/>
      <c r="B47" s="294"/>
      <c r="C47" s="294"/>
      <c r="D47" s="294"/>
      <c r="E47" s="281"/>
      <c r="F47" s="281"/>
      <c r="G47" s="281"/>
      <c r="H47" s="281"/>
      <c r="I47" s="281"/>
      <c r="J47" s="281"/>
      <c r="K47" s="281"/>
      <c r="L47" s="281"/>
      <c r="M47" s="281"/>
      <c r="N47" s="281"/>
    </row>
    <row r="48" spans="1:15" s="53" customFormat="1" ht="18" customHeight="1" x14ac:dyDescent="0.3">
      <c r="A48" s="351"/>
      <c r="B48" s="297"/>
      <c r="C48" s="297"/>
      <c r="D48" s="297"/>
      <c r="E48" s="282"/>
      <c r="F48" s="282"/>
      <c r="G48" s="282"/>
      <c r="H48" s="282"/>
      <c r="I48" s="282"/>
      <c r="J48" s="282"/>
      <c r="K48" s="282"/>
      <c r="L48" s="282"/>
      <c r="M48" s="282"/>
      <c r="N48" s="282"/>
      <c r="O48" s="352" t="s">
        <v>396</v>
      </c>
    </row>
    <row r="49" spans="1:14" s="53" customFormat="1" x14ac:dyDescent="0.3">
      <c r="A49" s="282"/>
      <c r="B49" s="282"/>
      <c r="C49" s="282"/>
      <c r="D49" s="282"/>
      <c r="E49" s="282"/>
      <c r="F49" s="282"/>
      <c r="G49" s="282"/>
      <c r="H49" s="282"/>
      <c r="I49" s="282"/>
      <c r="J49" s="282"/>
      <c r="K49" s="282"/>
      <c r="L49" s="282"/>
      <c r="M49" s="282"/>
      <c r="N49" s="282"/>
    </row>
    <row r="50" spans="1:14" s="53" customFormat="1" x14ac:dyDescent="0.3">
      <c r="A50" s="282"/>
      <c r="B50" s="282"/>
      <c r="C50" s="282"/>
      <c r="D50" s="282"/>
      <c r="E50" s="282"/>
      <c r="F50" s="282"/>
      <c r="G50" s="282"/>
      <c r="H50" s="282"/>
      <c r="I50" s="282"/>
      <c r="J50" s="282"/>
      <c r="K50" s="282"/>
      <c r="L50" s="282"/>
      <c r="M50" s="282"/>
      <c r="N50" s="282"/>
    </row>
    <row r="57" spans="1:14" x14ac:dyDescent="0.3">
      <c r="C57" s="281"/>
    </row>
  </sheetData>
  <sheetProtection sheet="1" objects="1" scenarios="1" selectLockedCells="1"/>
  <mergeCells count="1">
    <mergeCell ref="A2:A36"/>
  </mergeCells>
  <hyperlinks>
    <hyperlink ref="I28" location="'CE | Project'!A1" tooltip="Project Room, Type 1" display="Project Room, Type 1"/>
    <hyperlink ref="I30" location="'CE | Project'!A48" tooltip="Project Room, Type 3" display="Project Room, Type 3"/>
    <hyperlink ref="I29" location="'CE | Project'!A25" tooltip="Project Room, Type 2" display="Project Room, Type 2"/>
    <hyperlink ref="I31" location="'CE | Work'!A1" tooltip="Work Room, Type 1" display="Work Room, Type 1"/>
    <hyperlink ref="I32" location="'CE | Work'!A28" tooltip="Work Room, Type 2" display="Work Room, Type 2"/>
    <hyperlink ref="I19" location="'CO | Teaming'!A1" tooltip="Teaming Area, Type 1" display="Teaming Area, Type 1"/>
    <hyperlink ref="I20" location="'CO | Teaming'!A23" tooltip="Teaming Area, Type 2" display="Teaming Area, Type 2"/>
    <hyperlink ref="I21" location="'CO | Teaming'!A45" tooltip="Teaming Area, Type 3" display="Teaming Area, Type 3"/>
    <hyperlink ref="I5" location="'CO | Chat'!A1" tooltip="Chat Point, Type 1" display="Chat Point, Type 1"/>
    <hyperlink ref="I6" location="'CO | Chat'!A28" tooltip="Chat Point, Type 2" display="Chat Point, Type 2"/>
    <hyperlink ref="I7" location="'CO | Huddle'!A1" tooltip="Huddle, Type 1" display="Huddle, Type 1"/>
    <hyperlink ref="I8" location="'CO | Huddle'!A28" tooltip="Huddle, Type 2" display="Huddle, Type 2"/>
    <hyperlink ref="I10" location="'CO | Lounge'!A1" tooltip="Lounge, Type 1" display="Lounge, Type 1"/>
    <hyperlink ref="I11" location="'CO | Lounge'!A27" tooltip="Lounge, Type 2" display="Lounge, Type 2"/>
    <hyperlink ref="I12" location="'CO | Lounge'!A52" tooltip="Lounge, Type 3" display="Lounge, Type 3"/>
    <hyperlink ref="I13" location="'CO | Lounge'!A78" tooltip="Lounge, Type 4A" display="Lounge, Type 4A"/>
    <hyperlink ref="I14" location="'CO | Lounge'!A105" tooltip="Lounge, Type 4B" display="Lounge, Type 4B"/>
    <hyperlink ref="I15" location="'CO | Lounge'!A132" tooltip="Lounge, Type 4C" display="Lounge, Type 4C"/>
    <hyperlink ref="I16" location="'CO | Lounge'!A157" tooltip="Lounge, Type 4D" display="Lounge, Type 4D"/>
    <hyperlink ref="I17" location="'CO | Lounge'!A184" tooltip="Lounge, Type 4E" display="Lounge, Type 4E"/>
    <hyperlink ref="I18" location="'CO | Lounge'!A211" tooltip="Lounge, Type 4F" display="Lounge, Type 4F"/>
    <hyperlink ref="D19" location="'PIE | Focus'!A1" tooltip="Focus Room, Type 1" display="Focus Room, Type 1"/>
    <hyperlink ref="D20" location="'PIE | Focus'!A25" tooltip="Focus Room, Type 2" display="Focus Room, Type 2"/>
    <hyperlink ref="D21" location="'PIE | Study'!A1" tooltip="Study, Type 1" display="Study, Type 1"/>
    <hyperlink ref="D22" location="'PIE | Study'!A23" tooltip="Study, Type 2" display="Study, Type 2"/>
    <hyperlink ref="D28" location="'SI | Reflection'!A1" tooltip="Reflection Point, Type 1" display="Reflection Point, Type 1"/>
    <hyperlink ref="D25" location="'SI | Phone'!A1" tooltip="Phone Booth, Type 1" display="Phone Booth, Type 1"/>
    <hyperlink ref="D26" location="'SI | Phone'!A28" tooltip="Phone Booth, Type 2" display="Phone Booth, Type 2"/>
    <hyperlink ref="D27" location="'SI | Phone'!A55" tooltip="Phone Booth, Type 3" display="Phone Booth, Type 3"/>
    <hyperlink ref="I36" location="'SS | Lockers'!A1" tooltip="Lockers" display="Lockers"/>
    <hyperlink ref="I35" location="'SS | Filing'!A1" tooltip="Filing Area" display="Filing Area"/>
    <hyperlink ref="I24" location="'CE | Meeting'!A1" tooltip="Large Meeting Room, Type 1" display="Large Meeting Room, Type 1"/>
    <hyperlink ref="I25" location="'CE | Meeting'!A26" tooltip="Medium Meeting Room, Type 1" display="Medium Meeting Room, Type 1"/>
    <hyperlink ref="I26" location="'CE | Meeting'!A53" tooltip="Medium Meeting Room, Type 2" display="Medium Meeting Room, Type 2"/>
    <hyperlink ref="I27" location="'CE | Meeting'!A80" tooltip="Medium Meeting (&amp; Training) Room, Type 3" display="Medium Meeting (&amp; Training) Room, Type 3"/>
    <hyperlink ref="D13" location="'PIO | Touchdown'!A1" tooltip="Touchdown, Type 1A" display="Touchdown, Type 1A"/>
    <hyperlink ref="D14" location="'PIO | Touchdown'!A28" tooltip="Touchdown, Type 1B" display="Touchdown, Type 1B"/>
    <hyperlink ref="D15" location="'PIO | Focus'!A1" tooltip="Focus Pod, Type 1" display="Focus Pod, Type 1"/>
    <hyperlink ref="D16" location="'PIO | Focus'!A28" tooltip="Focus Pod, Type 2" display="Focus Pod, Type 2"/>
    <hyperlink ref="D5" location="Start!A1" tooltip="Introduction" display="Introduction"/>
    <hyperlink ref="D6" location="Start!A6" tooltip="Procurement Mechanisms" display="Procurement Mechanisms"/>
    <hyperlink ref="I9" location="'CO | Huddle'!A55" tooltip="Huddle, Type 3" display="Huddle, Type 3"/>
    <hyperlink ref="D9" location="'PIO | Workstation'!A1" tooltip="Workstation, Type 1" display="Workstation, Type 1"/>
    <hyperlink ref="D10" location="'PIO | Workstation'!A57" tooltip="Workstation, Type 2" display="Workstation, Type 2"/>
    <hyperlink ref="D11" location="'PIO | Workstation'!A79" tooltip="Workstation, Type 3A" display="Workstation, Type 3A"/>
    <hyperlink ref="D12" location="'PIO | Workstation'!A126" tooltip="Workstation, Type 3B" display="Workstation, Type 3B"/>
  </hyperlinks>
  <printOptions verticalCentered="1"/>
  <pageMargins left="0.5" right="0.5" top="0" bottom="0" header="0.3" footer="0.3"/>
  <pageSetup paperSize="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D4FC"/>
  </sheetPr>
  <dimension ref="A1:O83"/>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3"/>
      <c r="B1" s="129"/>
      <c r="C1" s="129"/>
      <c r="D1" s="129"/>
      <c r="E1" s="129"/>
    </row>
    <row r="2" spans="1:15" ht="32.4" customHeight="1" x14ac:dyDescent="0.3">
      <c r="A2" s="881" t="s">
        <v>228</v>
      </c>
      <c r="B2" s="129"/>
      <c r="C2" s="130" t="s">
        <v>231</v>
      </c>
      <c r="D2" s="129"/>
      <c r="E2" s="129"/>
      <c r="O2" s="328" t="s">
        <v>34</v>
      </c>
    </row>
    <row r="3" spans="1:15" ht="25.8" customHeight="1" x14ac:dyDescent="0.5">
      <c r="A3" s="882"/>
      <c r="B3" s="129"/>
      <c r="C3" s="131" t="s">
        <v>362</v>
      </c>
      <c r="D3" s="129"/>
      <c r="E3" s="129"/>
    </row>
    <row r="4" spans="1:15" ht="25.8" customHeight="1" x14ac:dyDescent="0.5">
      <c r="A4" s="882"/>
      <c r="B4" s="129"/>
      <c r="C4" s="131" t="str">
        <f>"COST (EST.): "&amp;TEXT(SUM(N10:N11),"$0,000.00")</f>
        <v>COST (EST.): $1,994.00</v>
      </c>
      <c r="D4" s="129"/>
      <c r="E4" s="129"/>
    </row>
    <row r="5" spans="1:15" ht="72" customHeight="1" x14ac:dyDescent="0.3">
      <c r="A5" s="882"/>
      <c r="B5" s="129"/>
      <c r="C5" s="129"/>
      <c r="D5" s="129"/>
      <c r="E5" s="129"/>
    </row>
    <row r="6" spans="1:15" ht="72" customHeight="1" x14ac:dyDescent="0.3">
      <c r="A6" s="882"/>
      <c r="B6" s="129"/>
      <c r="C6" s="129"/>
      <c r="D6" s="129"/>
      <c r="E6" s="129"/>
    </row>
    <row r="7" spans="1:15" ht="72" customHeight="1" x14ac:dyDescent="0.3">
      <c r="A7" s="882"/>
      <c r="B7" s="129"/>
      <c r="C7" s="129"/>
      <c r="D7" s="129"/>
      <c r="E7" s="129"/>
    </row>
    <row r="8" spans="1:15" ht="72" customHeight="1" x14ac:dyDescent="0.3">
      <c r="A8" s="882"/>
      <c r="B8" s="129"/>
      <c r="C8" s="129"/>
      <c r="D8" s="129"/>
      <c r="E8" s="129"/>
    </row>
    <row r="9" spans="1:15" s="4" customFormat="1" ht="18" customHeight="1" thickBot="1" x14ac:dyDescent="0.35">
      <c r="A9" s="127"/>
      <c r="B9" s="132"/>
      <c r="C9" s="198" t="s">
        <v>1</v>
      </c>
      <c r="D9" s="367"/>
      <c r="E9" s="368" t="s">
        <v>2</v>
      </c>
      <c r="F9" s="368" t="s">
        <v>3</v>
      </c>
      <c r="G9" s="268" t="s">
        <v>4</v>
      </c>
      <c r="H9" s="268" t="s">
        <v>5</v>
      </c>
      <c r="I9" s="268" t="s">
        <v>6</v>
      </c>
      <c r="J9" s="369" t="s">
        <v>7</v>
      </c>
      <c r="K9" s="268" t="s">
        <v>8</v>
      </c>
      <c r="L9" s="367"/>
      <c r="M9" s="369" t="s">
        <v>283</v>
      </c>
      <c r="N9" s="369" t="s">
        <v>352</v>
      </c>
      <c r="O9" s="268" t="s">
        <v>10</v>
      </c>
    </row>
    <row r="10" spans="1:15" s="8" customFormat="1" ht="34.5" customHeight="1" x14ac:dyDescent="0.3">
      <c r="A10" s="128"/>
      <c r="B10" s="133"/>
      <c r="C10" s="19" t="s">
        <v>13</v>
      </c>
      <c r="D10" s="49" t="s">
        <v>25</v>
      </c>
      <c r="E10" s="136">
        <v>6</v>
      </c>
      <c r="F10" s="137">
        <v>1</v>
      </c>
      <c r="G10" s="173" t="s">
        <v>201</v>
      </c>
      <c r="H10" s="173" t="s">
        <v>201</v>
      </c>
      <c r="I10" s="38" t="s">
        <v>121</v>
      </c>
      <c r="J10" s="141" t="s">
        <v>232</v>
      </c>
      <c r="K10" s="25" t="s">
        <v>29</v>
      </c>
      <c r="L10" s="25"/>
      <c r="M10" s="176">
        <v>976.3</v>
      </c>
      <c r="N10" s="176">
        <f>ROUNDUP(M10*0.6, 0)</f>
        <v>586</v>
      </c>
      <c r="O10" s="25" t="s">
        <v>269</v>
      </c>
    </row>
    <row r="11" spans="1:15" s="8" customFormat="1" ht="34.5" customHeight="1" thickBot="1" x14ac:dyDescent="0.35">
      <c r="A11" s="128"/>
      <c r="B11" s="133"/>
      <c r="C11" s="21" t="s">
        <v>14</v>
      </c>
      <c r="D11" s="240" t="s">
        <v>49</v>
      </c>
      <c r="E11" s="362">
        <v>6</v>
      </c>
      <c r="F11" s="363">
        <v>1</v>
      </c>
      <c r="G11" s="364" t="s">
        <v>36</v>
      </c>
      <c r="H11" s="244" t="s">
        <v>36</v>
      </c>
      <c r="I11" s="365" t="s">
        <v>36</v>
      </c>
      <c r="J11" s="366" t="s">
        <v>62</v>
      </c>
      <c r="K11" s="244" t="s">
        <v>115</v>
      </c>
      <c r="L11" s="244"/>
      <c r="M11" s="178">
        <v>2345.87</v>
      </c>
      <c r="N11" s="178">
        <f>ROUNDUP(M11*0.6, 0)</f>
        <v>1408</v>
      </c>
      <c r="O11" s="244" t="s">
        <v>268</v>
      </c>
    </row>
    <row r="12" spans="1:15" s="8" customFormat="1" ht="18" customHeight="1" x14ac:dyDescent="0.3">
      <c r="A12" s="128"/>
      <c r="B12" s="133"/>
      <c r="C12" s="133"/>
      <c r="D12" s="133"/>
      <c r="E12" s="133"/>
      <c r="O12" s="318" t="s">
        <v>385</v>
      </c>
    </row>
    <row r="13" spans="1:15" s="8" customFormat="1" ht="18" customHeight="1" x14ac:dyDescent="0.3">
      <c r="A13" s="128"/>
      <c r="B13" s="133"/>
      <c r="C13" s="133"/>
      <c r="D13" s="133"/>
      <c r="E13" s="133"/>
      <c r="O13" s="163" t="s">
        <v>389</v>
      </c>
    </row>
    <row r="14" spans="1:15" s="8" customFormat="1" ht="18" customHeight="1" x14ac:dyDescent="0.3">
      <c r="A14" s="128"/>
      <c r="B14" s="133"/>
      <c r="C14" s="133"/>
      <c r="D14" s="133"/>
      <c r="E14" s="133"/>
    </row>
    <row r="15" spans="1:15" s="8" customFormat="1" ht="18" customHeight="1" x14ac:dyDescent="0.3">
      <c r="A15" s="128"/>
      <c r="B15" s="133"/>
      <c r="C15" s="133"/>
      <c r="D15" s="133"/>
      <c r="E15" s="133"/>
    </row>
    <row r="16" spans="1:15" s="8" customFormat="1" ht="18" customHeight="1" x14ac:dyDescent="0.3">
      <c r="A16" s="128"/>
      <c r="B16" s="133"/>
      <c r="C16" s="133"/>
      <c r="D16" s="374"/>
      <c r="E16" s="375"/>
      <c r="F16" s="370"/>
      <c r="G16" s="371"/>
      <c r="H16" s="371"/>
      <c r="I16" s="372"/>
      <c r="J16" s="91"/>
      <c r="K16" s="91"/>
      <c r="L16" s="91"/>
      <c r="M16" s="373"/>
      <c r="N16" s="373"/>
      <c r="O16" s="91"/>
    </row>
    <row r="17" spans="1:15" s="8" customFormat="1" ht="18" customHeight="1" x14ac:dyDescent="0.3">
      <c r="A17" s="128"/>
      <c r="B17" s="133"/>
      <c r="C17" s="133"/>
      <c r="D17" s="133"/>
      <c r="E17" s="133"/>
    </row>
    <row r="18" spans="1:15" s="8" customFormat="1" ht="18" customHeight="1" x14ac:dyDescent="0.3">
      <c r="A18" s="128"/>
      <c r="B18" s="133"/>
      <c r="C18" s="133"/>
      <c r="D18" s="133"/>
      <c r="E18" s="133"/>
    </row>
    <row r="19" spans="1:15" s="8" customFormat="1" ht="18" customHeight="1" x14ac:dyDescent="0.3">
      <c r="A19" s="128"/>
      <c r="B19" s="133"/>
      <c r="C19" s="133"/>
      <c r="D19" s="133"/>
      <c r="E19" s="133"/>
    </row>
    <row r="20" spans="1:15" s="8" customFormat="1" ht="18" customHeight="1" x14ac:dyDescent="0.3">
      <c r="A20" s="128"/>
      <c r="B20" s="133"/>
      <c r="C20" s="133"/>
      <c r="D20" s="133"/>
      <c r="E20" s="133"/>
    </row>
    <row r="21" spans="1:15" s="8" customFormat="1" ht="18" customHeight="1" x14ac:dyDescent="0.3">
      <c r="A21" s="128"/>
      <c r="B21" s="133"/>
      <c r="C21" s="133"/>
      <c r="D21" s="133"/>
      <c r="E21" s="133"/>
    </row>
    <row r="22" spans="1:15" s="8" customFormat="1" ht="18" customHeight="1" x14ac:dyDescent="0.3">
      <c r="A22" s="128"/>
      <c r="B22" s="133"/>
      <c r="C22" s="133"/>
      <c r="D22" s="133"/>
      <c r="E22" s="133"/>
    </row>
    <row r="23" spans="1:15" s="8" customFormat="1" ht="18" customHeight="1" x14ac:dyDescent="0.3">
      <c r="A23" s="128"/>
      <c r="B23" s="133"/>
      <c r="C23" s="133"/>
      <c r="D23" s="133"/>
      <c r="E23" s="133"/>
    </row>
    <row r="24" spans="1:15" s="8" customFormat="1" ht="18" customHeight="1" x14ac:dyDescent="0.3">
      <c r="A24" s="880" t="s">
        <v>0</v>
      </c>
      <c r="B24" s="133"/>
      <c r="C24" s="133"/>
      <c r="D24" s="133"/>
      <c r="E24" s="133"/>
    </row>
    <row r="25" spans="1:15" s="8" customFormat="1" ht="18" customHeight="1" x14ac:dyDescent="0.3">
      <c r="A25" s="880"/>
      <c r="B25" s="133"/>
      <c r="C25" s="133"/>
      <c r="D25" s="133"/>
      <c r="E25" s="133"/>
    </row>
    <row r="26" spans="1:15" s="8" customFormat="1" ht="18" customHeight="1" x14ac:dyDescent="0.3">
      <c r="A26" s="880"/>
      <c r="B26" s="133"/>
      <c r="C26" s="133"/>
      <c r="D26" s="133"/>
      <c r="E26" s="133"/>
    </row>
    <row r="27" spans="1:15" s="8" customFormat="1" ht="18" customHeight="1" thickBot="1" x14ac:dyDescent="0.35">
      <c r="A27" s="880"/>
      <c r="B27" s="133"/>
      <c r="C27" s="133"/>
      <c r="D27" s="133"/>
      <c r="E27" s="133"/>
    </row>
    <row r="28" spans="1:15" ht="35.25" customHeight="1" x14ac:dyDescent="0.3">
      <c r="A28" s="665"/>
      <c r="B28" s="666"/>
      <c r="C28" s="666"/>
      <c r="D28" s="666"/>
      <c r="E28" s="666"/>
      <c r="F28" s="667"/>
      <c r="G28" s="667"/>
      <c r="H28" s="667"/>
      <c r="I28" s="667"/>
      <c r="J28" s="667"/>
      <c r="K28" s="667"/>
      <c r="L28" s="667"/>
      <c r="M28" s="667"/>
      <c r="N28" s="667"/>
      <c r="O28" s="667"/>
    </row>
    <row r="29" spans="1:15" ht="32.4" customHeight="1" x14ac:dyDescent="0.3">
      <c r="A29" s="881" t="s">
        <v>228</v>
      </c>
      <c r="B29" s="129"/>
      <c r="C29" s="130" t="s">
        <v>233</v>
      </c>
      <c r="D29" s="129"/>
      <c r="E29" s="129"/>
      <c r="O29" s="328" t="s">
        <v>34</v>
      </c>
    </row>
    <row r="30" spans="1:15" ht="25.8" customHeight="1" x14ac:dyDescent="0.5">
      <c r="A30" s="882"/>
      <c r="B30" s="129"/>
      <c r="C30" s="131" t="s">
        <v>362</v>
      </c>
      <c r="D30" s="129"/>
      <c r="E30" s="129"/>
    </row>
    <row r="31" spans="1:15" ht="25.8" customHeight="1" x14ac:dyDescent="0.5">
      <c r="A31" s="882"/>
      <c r="B31" s="129"/>
      <c r="C31" s="131" t="str">
        <f>"COST (EST.): "&amp;TEXT(SUM(N37:N38),"$0,000.00")</f>
        <v>COST (EST.): $2,492.00</v>
      </c>
      <c r="D31" s="129"/>
      <c r="E31" s="129"/>
    </row>
    <row r="32" spans="1:15" ht="72" customHeight="1" x14ac:dyDescent="0.3">
      <c r="A32" s="882"/>
      <c r="B32" s="129"/>
      <c r="C32" s="129"/>
      <c r="D32" s="129"/>
      <c r="E32" s="129"/>
    </row>
    <row r="33" spans="1:15" ht="72" customHeight="1" x14ac:dyDescent="0.3">
      <c r="A33" s="882"/>
      <c r="B33" s="129"/>
      <c r="C33" s="129"/>
      <c r="D33" s="129"/>
      <c r="E33" s="129"/>
    </row>
    <row r="34" spans="1:15" ht="72" customHeight="1" x14ac:dyDescent="0.3">
      <c r="A34" s="882"/>
      <c r="B34" s="129"/>
      <c r="C34" s="129"/>
      <c r="D34" s="129"/>
      <c r="E34" s="129"/>
    </row>
    <row r="35" spans="1:15" ht="72" customHeight="1" x14ac:dyDescent="0.3">
      <c r="A35" s="882"/>
      <c r="B35" s="129"/>
      <c r="C35" s="129"/>
      <c r="D35" s="129"/>
      <c r="E35" s="129"/>
    </row>
    <row r="36" spans="1:15" s="4" customFormat="1" ht="18" customHeight="1" thickBot="1" x14ac:dyDescent="0.35">
      <c r="A36" s="127"/>
      <c r="B36" s="132"/>
      <c r="C36" s="198" t="s">
        <v>1</v>
      </c>
      <c r="D36" s="199"/>
      <c r="E36" s="202" t="s">
        <v>2</v>
      </c>
      <c r="F36" s="202" t="s">
        <v>3</v>
      </c>
      <c r="G36" s="198" t="s">
        <v>4</v>
      </c>
      <c r="H36" s="198" t="s">
        <v>5</v>
      </c>
      <c r="I36" s="198" t="s">
        <v>6</v>
      </c>
      <c r="J36" s="203" t="s">
        <v>7</v>
      </c>
      <c r="K36" s="198" t="s">
        <v>8</v>
      </c>
      <c r="L36" s="199"/>
      <c r="M36" s="203" t="s">
        <v>283</v>
      </c>
      <c r="N36" s="203" t="s">
        <v>352</v>
      </c>
      <c r="O36" s="198" t="s">
        <v>10</v>
      </c>
    </row>
    <row r="37" spans="1:15" s="8" customFormat="1" ht="34.5" customHeight="1" x14ac:dyDescent="0.3">
      <c r="A37" s="128"/>
      <c r="B37" s="133"/>
      <c r="C37" s="19" t="s">
        <v>13</v>
      </c>
      <c r="D37" s="48" t="s">
        <v>23</v>
      </c>
      <c r="E37" s="134">
        <v>6</v>
      </c>
      <c r="F37" s="135">
        <v>2</v>
      </c>
      <c r="G37" s="98" t="s">
        <v>120</v>
      </c>
      <c r="H37" s="23" t="s">
        <v>36</v>
      </c>
      <c r="I37" s="37" t="s">
        <v>121</v>
      </c>
      <c r="J37" s="140" t="s">
        <v>234</v>
      </c>
      <c r="K37" s="23" t="s">
        <v>29</v>
      </c>
      <c r="L37" s="23"/>
      <c r="M37" s="175">
        <v>3552</v>
      </c>
      <c r="N37" s="175">
        <f>ROUNDUP(M37*0.6, 0)</f>
        <v>2132</v>
      </c>
      <c r="O37" s="23" t="s">
        <v>272</v>
      </c>
    </row>
    <row r="38" spans="1:15" s="8" customFormat="1" ht="34.5" customHeight="1" thickBot="1" x14ac:dyDescent="0.35">
      <c r="A38" s="128"/>
      <c r="B38" s="133"/>
      <c r="C38" s="21" t="s">
        <v>14</v>
      </c>
      <c r="D38" s="50" t="s">
        <v>21</v>
      </c>
      <c r="E38" s="138">
        <v>6</v>
      </c>
      <c r="F38" s="139">
        <v>1</v>
      </c>
      <c r="G38" s="119" t="s">
        <v>36</v>
      </c>
      <c r="H38" s="119" t="s">
        <v>36</v>
      </c>
      <c r="I38" s="100" t="s">
        <v>36</v>
      </c>
      <c r="J38" s="142" t="s">
        <v>22</v>
      </c>
      <c r="K38" s="27" t="s">
        <v>30</v>
      </c>
      <c r="L38" s="27"/>
      <c r="M38" s="177">
        <v>600</v>
      </c>
      <c r="N38" s="177">
        <f>ROUNDUP(M38*0.6, 0)</f>
        <v>360</v>
      </c>
      <c r="O38" s="27" t="s">
        <v>271</v>
      </c>
    </row>
    <row r="39" spans="1:15" s="8" customFormat="1" ht="18" customHeight="1" x14ac:dyDescent="0.3">
      <c r="A39" s="128"/>
      <c r="B39" s="133"/>
      <c r="C39" s="133"/>
      <c r="D39" s="133"/>
      <c r="E39" s="133"/>
      <c r="O39" s="318" t="s">
        <v>385</v>
      </c>
    </row>
    <row r="40" spans="1:15" s="8" customFormat="1" ht="18" customHeight="1" x14ac:dyDescent="0.3">
      <c r="A40" s="128"/>
      <c r="B40" s="133"/>
      <c r="C40" s="133"/>
      <c r="D40" s="133"/>
      <c r="E40" s="133"/>
      <c r="O40" s="163" t="s">
        <v>389</v>
      </c>
    </row>
    <row r="41" spans="1:15" s="8" customFormat="1" ht="18" customHeight="1" x14ac:dyDescent="0.3">
      <c r="A41" s="128"/>
      <c r="B41" s="133"/>
      <c r="C41" s="133"/>
      <c r="D41" s="133"/>
      <c r="E41" s="133"/>
    </row>
    <row r="42" spans="1:15" s="8" customFormat="1" ht="18" customHeight="1" x14ac:dyDescent="0.3">
      <c r="A42" s="128"/>
      <c r="B42" s="133"/>
      <c r="C42" s="133"/>
      <c r="D42" s="133"/>
      <c r="E42" s="133"/>
    </row>
    <row r="43" spans="1:15" s="8" customFormat="1" ht="18" customHeight="1" x14ac:dyDescent="0.3">
      <c r="A43" s="128"/>
      <c r="B43" s="133"/>
      <c r="C43" s="133"/>
      <c r="D43" s="133"/>
      <c r="E43" s="133"/>
    </row>
    <row r="44" spans="1:15" s="8" customFormat="1" ht="18" customHeight="1" x14ac:dyDescent="0.3">
      <c r="A44" s="128"/>
      <c r="B44" s="133"/>
      <c r="C44" s="133"/>
      <c r="D44" s="133"/>
      <c r="E44" s="133"/>
    </row>
    <row r="45" spans="1:15" s="8" customFormat="1" ht="18" customHeight="1" x14ac:dyDescent="0.3">
      <c r="A45" s="128"/>
      <c r="B45" s="133"/>
      <c r="C45" s="133"/>
      <c r="D45" s="133"/>
      <c r="E45" s="133"/>
    </row>
    <row r="46" spans="1:15" s="8" customFormat="1" ht="18" customHeight="1" x14ac:dyDescent="0.3">
      <c r="A46" s="128"/>
      <c r="B46" s="133"/>
      <c r="C46" s="133"/>
      <c r="D46" s="133"/>
      <c r="E46" s="133"/>
    </row>
    <row r="47" spans="1:15" s="8" customFormat="1" ht="18" customHeight="1" x14ac:dyDescent="0.3">
      <c r="A47" s="128"/>
      <c r="B47" s="133"/>
      <c r="C47" s="133"/>
      <c r="D47" s="133"/>
      <c r="E47" s="133"/>
    </row>
    <row r="48" spans="1:15" s="8" customFormat="1" ht="18" customHeight="1" x14ac:dyDescent="0.3">
      <c r="A48" s="128"/>
      <c r="B48" s="133"/>
      <c r="C48" s="133"/>
      <c r="D48" s="133"/>
      <c r="E48" s="133"/>
    </row>
    <row r="49" spans="1:15" s="8" customFormat="1" ht="18" customHeight="1" x14ac:dyDescent="0.3">
      <c r="A49" s="128"/>
      <c r="B49" s="133"/>
      <c r="C49" s="133"/>
      <c r="D49" s="133"/>
      <c r="E49" s="133"/>
    </row>
    <row r="50" spans="1:15" s="8" customFormat="1" ht="18" customHeight="1" x14ac:dyDescent="0.3">
      <c r="A50" s="128"/>
      <c r="B50" s="133"/>
      <c r="C50" s="133"/>
      <c r="D50" s="133"/>
      <c r="E50" s="133"/>
    </row>
    <row r="51" spans="1:15" s="8" customFormat="1" ht="18" customHeight="1" x14ac:dyDescent="0.3">
      <c r="A51" s="880" t="s">
        <v>32</v>
      </c>
      <c r="B51" s="133"/>
      <c r="C51" s="133"/>
      <c r="D51" s="133"/>
      <c r="E51" s="133"/>
    </row>
    <row r="52" spans="1:15" s="8" customFormat="1" ht="18" customHeight="1" x14ac:dyDescent="0.3">
      <c r="A52" s="880"/>
      <c r="B52" s="133"/>
      <c r="C52" s="133"/>
      <c r="D52" s="133"/>
      <c r="E52" s="133"/>
    </row>
    <row r="53" spans="1:15" s="8" customFormat="1" ht="18" customHeight="1" x14ac:dyDescent="0.3">
      <c r="A53" s="880"/>
      <c r="B53" s="133"/>
      <c r="C53" s="133"/>
      <c r="D53" s="133"/>
      <c r="E53" s="133"/>
    </row>
    <row r="54" spans="1:15" s="8" customFormat="1" ht="18" customHeight="1" thickBot="1" x14ac:dyDescent="0.35">
      <c r="A54" s="880"/>
      <c r="B54" s="133"/>
      <c r="C54" s="133"/>
      <c r="D54" s="133"/>
      <c r="E54" s="133"/>
    </row>
    <row r="55" spans="1:15" ht="35.25" customHeight="1" x14ac:dyDescent="0.3">
      <c r="A55" s="665"/>
      <c r="B55" s="666"/>
      <c r="C55" s="666"/>
      <c r="D55" s="666"/>
      <c r="E55" s="666"/>
      <c r="F55" s="667"/>
      <c r="G55" s="667"/>
      <c r="H55" s="667"/>
      <c r="I55" s="667"/>
      <c r="J55" s="667"/>
      <c r="K55" s="667"/>
      <c r="L55" s="667"/>
      <c r="M55" s="667"/>
      <c r="N55" s="667"/>
      <c r="O55" s="667"/>
    </row>
    <row r="56" spans="1:15" ht="32.4" customHeight="1" x14ac:dyDescent="0.3">
      <c r="A56" s="881" t="s">
        <v>228</v>
      </c>
      <c r="B56" s="129"/>
      <c r="C56" s="130" t="s">
        <v>235</v>
      </c>
      <c r="D56" s="129"/>
      <c r="E56" s="129"/>
      <c r="O56" s="328" t="s">
        <v>34</v>
      </c>
    </row>
    <row r="57" spans="1:15" ht="25.8" customHeight="1" x14ac:dyDescent="0.5">
      <c r="A57" s="882"/>
      <c r="B57" s="129"/>
      <c r="C57" s="131" t="s">
        <v>361</v>
      </c>
      <c r="D57" s="129"/>
      <c r="E57" s="129"/>
    </row>
    <row r="58" spans="1:15" ht="25.8" customHeight="1" x14ac:dyDescent="0.5">
      <c r="A58" s="882"/>
      <c r="B58" s="129"/>
      <c r="C58" s="131" t="str">
        <f>"COST (EST.): "&amp;TEXT(SUM(N64:N64),"$0,000.00")</f>
        <v>COST (EST.): $10,000.00</v>
      </c>
      <c r="D58" s="129"/>
      <c r="E58" s="129"/>
    </row>
    <row r="59" spans="1:15" ht="72" customHeight="1" x14ac:dyDescent="0.3">
      <c r="A59" s="882"/>
      <c r="B59" s="129"/>
      <c r="C59" s="129"/>
      <c r="D59" s="129"/>
      <c r="E59" s="129"/>
    </row>
    <row r="60" spans="1:15" ht="72" customHeight="1" x14ac:dyDescent="0.3">
      <c r="A60" s="882"/>
      <c r="B60" s="129"/>
      <c r="C60" s="129"/>
      <c r="D60" s="129"/>
      <c r="E60" s="129"/>
    </row>
    <row r="61" spans="1:15" ht="72" customHeight="1" x14ac:dyDescent="0.3">
      <c r="A61" s="882"/>
      <c r="B61" s="129"/>
      <c r="C61" s="129"/>
      <c r="D61" s="129"/>
      <c r="E61" s="129"/>
    </row>
    <row r="62" spans="1:15" ht="72" customHeight="1" x14ac:dyDescent="0.3">
      <c r="A62" s="882"/>
      <c r="B62" s="129"/>
      <c r="C62" s="129"/>
      <c r="D62" s="129"/>
      <c r="E62" s="129"/>
    </row>
    <row r="63" spans="1:15" s="4" customFormat="1" ht="18" customHeight="1" thickBot="1" x14ac:dyDescent="0.35">
      <c r="A63" s="127"/>
      <c r="B63" s="132"/>
      <c r="C63" s="198" t="s">
        <v>1</v>
      </c>
      <c r="D63" s="199"/>
      <c r="E63" s="202" t="s">
        <v>2</v>
      </c>
      <c r="F63" s="202" t="s">
        <v>3</v>
      </c>
      <c r="G63" s="198" t="s">
        <v>4</v>
      </c>
      <c r="H63" s="198" t="s">
        <v>5</v>
      </c>
      <c r="I63" s="198" t="s">
        <v>6</v>
      </c>
      <c r="J63" s="203" t="s">
        <v>7</v>
      </c>
      <c r="K63" s="198" t="s">
        <v>8</v>
      </c>
      <c r="L63" s="199"/>
      <c r="M63" s="203" t="s">
        <v>283</v>
      </c>
      <c r="N63" s="203" t="s">
        <v>352</v>
      </c>
      <c r="O63" s="198" t="s">
        <v>10</v>
      </c>
    </row>
    <row r="64" spans="1:15" s="8" customFormat="1" ht="34.5" customHeight="1" thickBot="1" x14ac:dyDescent="0.35">
      <c r="A64" s="128"/>
      <c r="B64" s="133"/>
      <c r="C64" s="204" t="s">
        <v>13</v>
      </c>
      <c r="D64" s="205" t="s">
        <v>236</v>
      </c>
      <c r="E64" s="206" t="s">
        <v>19</v>
      </c>
      <c r="F64" s="207">
        <v>1</v>
      </c>
      <c r="G64" s="208" t="s">
        <v>237</v>
      </c>
      <c r="H64" s="208" t="s">
        <v>238</v>
      </c>
      <c r="I64" s="209" t="s">
        <v>239</v>
      </c>
      <c r="J64" s="210" t="s">
        <v>36</v>
      </c>
      <c r="K64" s="211" t="s">
        <v>36</v>
      </c>
      <c r="L64" s="211"/>
      <c r="M64" s="212">
        <v>25000</v>
      </c>
      <c r="N64" s="212">
        <f>ROUNDUP(M64*0.4, 0)</f>
        <v>10000</v>
      </c>
      <c r="O64" s="211" t="s">
        <v>36</v>
      </c>
    </row>
    <row r="65" spans="1:15" s="8" customFormat="1" ht="18" customHeight="1" x14ac:dyDescent="0.3">
      <c r="A65" s="128"/>
      <c r="B65" s="133"/>
      <c r="C65" s="133"/>
      <c r="D65" s="133"/>
      <c r="E65" s="133"/>
      <c r="O65" s="318" t="s">
        <v>385</v>
      </c>
    </row>
    <row r="66" spans="1:15" s="8" customFormat="1" ht="18" customHeight="1" x14ac:dyDescent="0.3">
      <c r="A66" s="128"/>
      <c r="B66" s="133"/>
      <c r="C66" s="133"/>
      <c r="D66" s="133"/>
      <c r="E66" s="133"/>
      <c r="O66" s="9" t="s">
        <v>485</v>
      </c>
    </row>
    <row r="67" spans="1:15" s="8" customFormat="1" ht="18" customHeight="1" x14ac:dyDescent="0.3">
      <c r="A67" s="128"/>
      <c r="B67" s="133"/>
      <c r="C67" s="133"/>
      <c r="D67" s="133"/>
      <c r="E67" s="133"/>
    </row>
    <row r="68" spans="1:15" s="8" customFormat="1" ht="18" customHeight="1" x14ac:dyDescent="0.3">
      <c r="A68" s="128"/>
      <c r="B68" s="133"/>
      <c r="C68" s="133"/>
      <c r="D68" s="133"/>
      <c r="E68" s="133"/>
    </row>
    <row r="69" spans="1:15" s="8" customFormat="1" ht="18" customHeight="1" x14ac:dyDescent="0.3">
      <c r="A69" s="128"/>
      <c r="B69" s="133"/>
      <c r="C69" s="133"/>
      <c r="D69" s="133"/>
      <c r="E69" s="133"/>
    </row>
    <row r="70" spans="1:15" s="8" customFormat="1" ht="18" customHeight="1" x14ac:dyDescent="0.3">
      <c r="A70" s="128"/>
      <c r="B70" s="133"/>
      <c r="C70" s="133"/>
      <c r="D70" s="133"/>
      <c r="E70" s="133"/>
    </row>
    <row r="71" spans="1:15" s="8" customFormat="1" ht="18" customHeight="1" x14ac:dyDescent="0.3">
      <c r="A71" s="128"/>
      <c r="B71" s="133"/>
      <c r="C71" s="133"/>
      <c r="D71" s="133"/>
      <c r="E71" s="133"/>
    </row>
    <row r="72" spans="1:15" s="8" customFormat="1" ht="18" customHeight="1" x14ac:dyDescent="0.3">
      <c r="A72" s="128"/>
      <c r="B72" s="133"/>
      <c r="C72" s="133"/>
      <c r="D72" s="133"/>
      <c r="E72" s="133"/>
    </row>
    <row r="73" spans="1:15" s="8" customFormat="1" ht="18" customHeight="1" x14ac:dyDescent="0.3">
      <c r="A73" s="128"/>
      <c r="B73" s="133"/>
      <c r="C73" s="133"/>
      <c r="D73" s="133"/>
      <c r="E73" s="133"/>
    </row>
    <row r="74" spans="1:15" s="8" customFormat="1" ht="18" customHeight="1" x14ac:dyDescent="0.3">
      <c r="A74" s="128"/>
      <c r="B74" s="133"/>
      <c r="C74" s="133"/>
      <c r="D74" s="133"/>
      <c r="E74" s="133"/>
    </row>
    <row r="75" spans="1:15" s="8" customFormat="1" ht="18" customHeight="1" x14ac:dyDescent="0.3">
      <c r="A75" s="128"/>
      <c r="B75" s="133"/>
      <c r="C75" s="133"/>
      <c r="D75" s="133"/>
      <c r="E75" s="133"/>
    </row>
    <row r="76" spans="1:15" s="8" customFormat="1" ht="18" customHeight="1" x14ac:dyDescent="0.3">
      <c r="A76" s="128"/>
      <c r="B76" s="133"/>
      <c r="C76" s="133"/>
      <c r="D76" s="133"/>
      <c r="E76" s="133"/>
    </row>
    <row r="77" spans="1:15" s="8" customFormat="1" ht="18" customHeight="1" x14ac:dyDescent="0.3">
      <c r="A77" s="128"/>
      <c r="B77" s="133"/>
      <c r="C77" s="133"/>
      <c r="D77" s="133"/>
      <c r="E77" s="133"/>
    </row>
    <row r="78" spans="1:15" s="8" customFormat="1" ht="18" customHeight="1" x14ac:dyDescent="0.3">
      <c r="A78" s="128"/>
      <c r="B78" s="133"/>
      <c r="C78" s="133"/>
      <c r="D78" s="133"/>
      <c r="E78" s="133"/>
    </row>
    <row r="79" spans="1:15" s="8" customFormat="1" ht="18" customHeight="1" x14ac:dyDescent="0.3">
      <c r="A79" s="880" t="s">
        <v>35</v>
      </c>
      <c r="B79" s="133"/>
      <c r="C79" s="133"/>
      <c r="D79" s="133"/>
      <c r="E79" s="133"/>
    </row>
    <row r="80" spans="1:15" s="8" customFormat="1" ht="18" customHeight="1" x14ac:dyDescent="0.3">
      <c r="A80" s="880"/>
      <c r="B80" s="133"/>
      <c r="C80" s="133"/>
      <c r="D80" s="133"/>
      <c r="E80" s="133"/>
    </row>
    <row r="81" spans="1:15" s="8" customFormat="1" ht="18" customHeight="1" x14ac:dyDescent="0.3">
      <c r="A81" s="880"/>
      <c r="B81" s="133"/>
      <c r="C81" s="133"/>
      <c r="D81" s="133"/>
      <c r="E81" s="133"/>
    </row>
    <row r="82" spans="1:15" s="8" customFormat="1" ht="18" customHeight="1" thickBot="1" x14ac:dyDescent="0.35">
      <c r="A82" s="880"/>
      <c r="B82" s="133"/>
      <c r="C82" s="133"/>
      <c r="D82" s="133"/>
      <c r="E82" s="133"/>
    </row>
    <row r="83" spans="1:15" ht="18" customHeight="1" x14ac:dyDescent="0.3">
      <c r="A83" s="668"/>
      <c r="B83" s="667"/>
      <c r="C83" s="667"/>
      <c r="D83" s="667"/>
      <c r="E83" s="667"/>
      <c r="F83" s="667"/>
      <c r="G83" s="667"/>
      <c r="H83" s="667"/>
      <c r="I83" s="667"/>
      <c r="J83" s="667"/>
      <c r="K83" s="667"/>
      <c r="L83" s="667"/>
      <c r="M83" s="667"/>
      <c r="N83" s="667"/>
      <c r="O83" s="667"/>
    </row>
  </sheetData>
  <sheetProtection sheet="1" objects="1" scenarios="1" selectLockedCells="1"/>
  <mergeCells count="6">
    <mergeCell ref="A79:A82"/>
    <mergeCell ref="A2:A8"/>
    <mergeCell ref="A24:A27"/>
    <mergeCell ref="A29:A35"/>
    <mergeCell ref="A51:A54"/>
    <mergeCell ref="A56:A62"/>
  </mergeCells>
  <conditionalFormatting sqref="A1:XFD1048576">
    <cfRule type="cellIs" dxfId="28" priority="1" operator="equal">
      <formula>"N/A"</formula>
    </cfRule>
  </conditionalFormatting>
  <hyperlinks>
    <hyperlink ref="O2" location="ToC!A1" display="Return to Table of Contents"/>
    <hyperlink ref="O29" location="ToC!A1" display="Return to Table of Contents"/>
    <hyperlink ref="O56" location="ToC!A1" display="Return to Table of Contents"/>
  </hyperlinks>
  <printOptions verticalCentered="1"/>
  <pageMargins left="0.5" right="0.5" top="0" bottom="0" header="0.3" footer="0.3"/>
  <pageSetup paperSize="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D4FC"/>
  </sheetPr>
  <dimension ref="A1:O26"/>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3"/>
      <c r="B1" s="129"/>
      <c r="C1" s="129"/>
      <c r="D1" s="129"/>
      <c r="E1" s="129"/>
    </row>
    <row r="2" spans="1:15" ht="32.4" customHeight="1" x14ac:dyDescent="0.3">
      <c r="A2" s="881" t="s">
        <v>228</v>
      </c>
      <c r="B2" s="129"/>
      <c r="C2" s="130" t="s">
        <v>227</v>
      </c>
      <c r="D2" s="129"/>
      <c r="E2" s="129"/>
      <c r="O2" s="328" t="s">
        <v>34</v>
      </c>
    </row>
    <row r="3" spans="1:15" ht="25.8" customHeight="1" x14ac:dyDescent="0.5">
      <c r="A3" s="882"/>
      <c r="B3" s="129"/>
      <c r="C3" s="131" t="s">
        <v>362</v>
      </c>
      <c r="D3" s="129"/>
      <c r="E3" s="129"/>
    </row>
    <row r="4" spans="1:15" ht="25.8" customHeight="1" x14ac:dyDescent="0.5">
      <c r="A4" s="882"/>
      <c r="B4" s="129"/>
      <c r="C4" s="131" t="str">
        <f>"COST (EST.): "&amp;TEXT(SUM(N10:N13),"$0,000.00")</f>
        <v>COST (EST.): $2,879.00</v>
      </c>
      <c r="D4" s="129"/>
      <c r="E4" s="129"/>
    </row>
    <row r="5" spans="1:15" ht="72" customHeight="1" x14ac:dyDescent="0.3">
      <c r="A5" s="882"/>
      <c r="B5" s="129"/>
      <c r="C5" s="129"/>
      <c r="D5" s="129"/>
      <c r="E5" s="129"/>
    </row>
    <row r="6" spans="1:15" ht="72" customHeight="1" x14ac:dyDescent="0.3">
      <c r="A6" s="882"/>
      <c r="B6" s="129"/>
      <c r="C6" s="129"/>
      <c r="D6" s="129"/>
      <c r="E6" s="129"/>
    </row>
    <row r="7" spans="1:15" ht="72" customHeight="1" x14ac:dyDescent="0.3">
      <c r="A7" s="882"/>
      <c r="B7" s="129"/>
      <c r="C7" s="129"/>
      <c r="D7" s="129"/>
      <c r="E7" s="129"/>
    </row>
    <row r="8" spans="1:15" ht="72" customHeight="1" x14ac:dyDescent="0.3">
      <c r="A8" s="882"/>
      <c r="B8" s="129"/>
      <c r="C8" s="129"/>
      <c r="D8" s="129"/>
      <c r="E8" s="129"/>
    </row>
    <row r="9" spans="1:15" s="4" customFormat="1" ht="18" customHeight="1" thickBot="1" x14ac:dyDescent="0.35">
      <c r="A9" s="127"/>
      <c r="B9" s="132"/>
      <c r="C9" s="198" t="s">
        <v>1</v>
      </c>
      <c r="D9" s="199"/>
      <c r="E9" s="202" t="s">
        <v>2</v>
      </c>
      <c r="F9" s="202" t="s">
        <v>3</v>
      </c>
      <c r="G9" s="198" t="s">
        <v>4</v>
      </c>
      <c r="H9" s="198" t="s">
        <v>5</v>
      </c>
      <c r="I9" s="198" t="s">
        <v>6</v>
      </c>
      <c r="J9" s="203" t="s">
        <v>7</v>
      </c>
      <c r="K9" s="198" t="s">
        <v>8</v>
      </c>
      <c r="L9" s="199"/>
      <c r="M9" s="203" t="s">
        <v>283</v>
      </c>
      <c r="N9" s="203" t="s">
        <v>352</v>
      </c>
      <c r="O9" s="198" t="s">
        <v>10</v>
      </c>
    </row>
    <row r="10" spans="1:15" s="8" customFormat="1" ht="34.5" customHeight="1" x14ac:dyDescent="0.3">
      <c r="A10" s="128"/>
      <c r="B10" s="133"/>
      <c r="C10" s="19" t="s">
        <v>13</v>
      </c>
      <c r="D10" s="49" t="s">
        <v>206</v>
      </c>
      <c r="E10" s="136">
        <v>6</v>
      </c>
      <c r="F10" s="137">
        <v>2</v>
      </c>
      <c r="G10" s="108" t="s">
        <v>213</v>
      </c>
      <c r="H10" s="25" t="s">
        <v>36</v>
      </c>
      <c r="I10" s="109" t="s">
        <v>212</v>
      </c>
      <c r="J10" s="288" t="s">
        <v>292</v>
      </c>
      <c r="K10" s="25" t="s">
        <v>29</v>
      </c>
      <c r="L10" s="25"/>
      <c r="M10" s="176">
        <v>1924</v>
      </c>
      <c r="N10" s="175">
        <f>ROUNDUP(M10*0.6, 0)</f>
        <v>1155</v>
      </c>
      <c r="O10" s="25" t="s">
        <v>286</v>
      </c>
    </row>
    <row r="11" spans="1:15" s="8" customFormat="1" ht="34.5" customHeight="1" x14ac:dyDescent="0.3">
      <c r="A11" s="128"/>
      <c r="B11" s="133"/>
      <c r="C11" s="20" t="s">
        <v>14</v>
      </c>
      <c r="D11" s="48" t="s">
        <v>140</v>
      </c>
      <c r="E11" s="134">
        <v>6</v>
      </c>
      <c r="F11" s="135">
        <v>1</v>
      </c>
      <c r="G11" s="98" t="s">
        <v>36</v>
      </c>
      <c r="H11" s="23" t="s">
        <v>36</v>
      </c>
      <c r="I11" s="37" t="s">
        <v>142</v>
      </c>
      <c r="J11" s="140" t="s">
        <v>143</v>
      </c>
      <c r="K11" s="23" t="s">
        <v>29</v>
      </c>
      <c r="L11" s="23"/>
      <c r="M11" s="175">
        <v>2369.5</v>
      </c>
      <c r="N11" s="175">
        <f>ROUNDUP(M11*0.4, 0)</f>
        <v>948</v>
      </c>
      <c r="O11" s="23" t="s">
        <v>291</v>
      </c>
    </row>
    <row r="12" spans="1:15" s="8" customFormat="1" ht="34.5" customHeight="1" x14ac:dyDescent="0.3">
      <c r="A12" s="128"/>
      <c r="B12" s="133"/>
      <c r="C12" s="20" t="s">
        <v>15</v>
      </c>
      <c r="D12" s="49" t="s">
        <v>21</v>
      </c>
      <c r="E12" s="136">
        <v>6</v>
      </c>
      <c r="F12" s="137">
        <v>1</v>
      </c>
      <c r="G12" s="173" t="s">
        <v>36</v>
      </c>
      <c r="H12" s="25" t="s">
        <v>36</v>
      </c>
      <c r="I12" s="38" t="s">
        <v>36</v>
      </c>
      <c r="J12" s="141" t="s">
        <v>230</v>
      </c>
      <c r="K12" s="25" t="s">
        <v>30</v>
      </c>
      <c r="L12" s="25"/>
      <c r="M12" s="176">
        <v>600</v>
      </c>
      <c r="N12" s="176">
        <f>ROUNDUP(M12*0.6, 0)</f>
        <v>360</v>
      </c>
      <c r="O12" s="25" t="s">
        <v>271</v>
      </c>
    </row>
    <row r="13" spans="1:15" s="8" customFormat="1" ht="34.5" customHeight="1" thickBot="1" x14ac:dyDescent="0.35">
      <c r="A13" s="128"/>
      <c r="B13" s="133"/>
      <c r="C13" s="21" t="s">
        <v>16</v>
      </c>
      <c r="D13" s="240" t="s">
        <v>229</v>
      </c>
      <c r="E13" s="362">
        <v>6</v>
      </c>
      <c r="F13" s="363">
        <v>1</v>
      </c>
      <c r="G13" s="364" t="s">
        <v>36</v>
      </c>
      <c r="H13" s="244" t="s">
        <v>36</v>
      </c>
      <c r="I13" s="365" t="s">
        <v>121</v>
      </c>
      <c r="J13" s="366" t="s">
        <v>127</v>
      </c>
      <c r="K13" s="244" t="s">
        <v>29</v>
      </c>
      <c r="L13" s="244"/>
      <c r="M13" s="178">
        <v>1038</v>
      </c>
      <c r="N13" s="178">
        <f>ROUNDUP(M13*0.4, 0)</f>
        <v>416</v>
      </c>
      <c r="O13" s="244" t="s">
        <v>277</v>
      </c>
    </row>
    <row r="14" spans="1:15" s="8" customFormat="1" ht="18" customHeight="1" x14ac:dyDescent="0.3">
      <c r="A14" s="128"/>
      <c r="B14" s="133"/>
      <c r="C14" s="133"/>
      <c r="D14" s="133"/>
      <c r="E14" s="133"/>
      <c r="O14" s="318" t="s">
        <v>385</v>
      </c>
    </row>
    <row r="15" spans="1:15" s="8" customFormat="1" ht="18" customHeight="1" x14ac:dyDescent="0.3">
      <c r="A15" s="128"/>
      <c r="B15" s="133"/>
      <c r="C15" s="133"/>
      <c r="D15" s="133"/>
      <c r="E15" s="133"/>
    </row>
    <row r="16" spans="1:15" s="8" customFormat="1" ht="18" customHeight="1" x14ac:dyDescent="0.3">
      <c r="A16" s="128"/>
      <c r="B16" s="133"/>
      <c r="C16" s="133"/>
      <c r="D16" s="133"/>
      <c r="E16" s="133"/>
    </row>
    <row r="17" spans="1:15" s="8" customFormat="1" ht="18" customHeight="1" x14ac:dyDescent="0.3">
      <c r="A17" s="128"/>
      <c r="B17" s="133"/>
      <c r="C17" s="133"/>
      <c r="D17" s="133"/>
      <c r="E17" s="133"/>
    </row>
    <row r="18" spans="1:15" s="8" customFormat="1" ht="18" customHeight="1" x14ac:dyDescent="0.3">
      <c r="A18" s="128"/>
      <c r="B18" s="133"/>
      <c r="C18" s="133"/>
      <c r="D18" s="133"/>
      <c r="E18" s="133"/>
    </row>
    <row r="19" spans="1:15" s="8" customFormat="1" ht="18" customHeight="1" x14ac:dyDescent="0.3">
      <c r="A19" s="128"/>
      <c r="B19" s="133"/>
      <c r="C19" s="133"/>
      <c r="D19" s="133"/>
      <c r="E19" s="133"/>
    </row>
    <row r="20" spans="1:15" s="8" customFormat="1" ht="18" customHeight="1" x14ac:dyDescent="0.3">
      <c r="A20" s="128"/>
      <c r="B20" s="133"/>
      <c r="C20" s="133"/>
      <c r="D20" s="133"/>
      <c r="E20" s="133"/>
    </row>
    <row r="21" spans="1:15" s="8" customFormat="1" ht="18" customHeight="1" x14ac:dyDescent="0.3">
      <c r="A21" s="128"/>
      <c r="B21" s="133"/>
      <c r="C21" s="133"/>
      <c r="D21" s="133"/>
      <c r="E21" s="133"/>
    </row>
    <row r="22" spans="1:15" s="8" customFormat="1" ht="18" customHeight="1" x14ac:dyDescent="0.3">
      <c r="A22" s="880" t="s">
        <v>0</v>
      </c>
      <c r="B22" s="133"/>
      <c r="C22" s="133"/>
      <c r="D22" s="133"/>
      <c r="E22" s="133"/>
    </row>
    <row r="23" spans="1:15" s="8" customFormat="1" ht="18" customHeight="1" x14ac:dyDescent="0.3">
      <c r="A23" s="880"/>
      <c r="B23" s="133"/>
      <c r="C23" s="133"/>
      <c r="D23" s="133"/>
      <c r="E23" s="133"/>
    </row>
    <row r="24" spans="1:15" s="8" customFormat="1" ht="18" customHeight="1" x14ac:dyDescent="0.3">
      <c r="A24" s="880"/>
      <c r="B24" s="133"/>
      <c r="C24" s="133"/>
      <c r="D24" s="133"/>
      <c r="E24" s="133"/>
    </row>
    <row r="25" spans="1:15" s="8" customFormat="1" ht="18" customHeight="1" thickBot="1" x14ac:dyDescent="0.35">
      <c r="A25" s="880"/>
      <c r="B25" s="133"/>
      <c r="C25" s="133"/>
      <c r="D25" s="133"/>
      <c r="E25" s="133"/>
    </row>
    <row r="26" spans="1:15" ht="18" customHeight="1" x14ac:dyDescent="0.3">
      <c r="A26" s="668"/>
      <c r="B26" s="667"/>
      <c r="C26" s="667"/>
      <c r="D26" s="667"/>
      <c r="E26" s="667"/>
      <c r="F26" s="667"/>
      <c r="G26" s="667"/>
      <c r="H26" s="667"/>
      <c r="I26" s="667"/>
      <c r="J26" s="667"/>
      <c r="K26" s="667"/>
      <c r="L26" s="667"/>
      <c r="M26" s="667"/>
      <c r="N26" s="667"/>
      <c r="O26" s="667"/>
    </row>
  </sheetData>
  <sheetProtection sheet="1" objects="1" scenarios="1" selectLockedCells="1"/>
  <mergeCells count="2">
    <mergeCell ref="A2:A8"/>
    <mergeCell ref="A22:A25"/>
  </mergeCells>
  <conditionalFormatting sqref="A1:XFD1048576">
    <cfRule type="cellIs" dxfId="27" priority="1" operator="equal">
      <formula>"N/A"</formula>
    </cfRule>
  </conditionalFormatting>
  <hyperlinks>
    <hyperlink ref="O2" location="ToC!A1" display="Return to Table of Contents"/>
  </hyperlinks>
  <printOptions verticalCentered="1"/>
  <pageMargins left="0.5" right="0.5" top="0" bottom="0" header="0.3" footer="0.3"/>
  <pageSetup paperSize="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CD1"/>
  </sheetPr>
  <dimension ref="A1:O55"/>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4"/>
      <c r="B1" s="55"/>
      <c r="C1" s="55"/>
      <c r="D1" s="55"/>
      <c r="E1" s="55"/>
    </row>
    <row r="2" spans="1:15" ht="32.4" customHeight="1" x14ac:dyDescent="0.3">
      <c r="A2" s="883" t="s">
        <v>83</v>
      </c>
      <c r="B2" s="55"/>
      <c r="C2" s="56" t="s">
        <v>131</v>
      </c>
      <c r="D2" s="55"/>
      <c r="E2" s="55"/>
      <c r="O2" s="328" t="s">
        <v>34</v>
      </c>
    </row>
    <row r="3" spans="1:15" ht="25.8" customHeight="1" x14ac:dyDescent="0.5">
      <c r="A3" s="884"/>
      <c r="B3" s="55"/>
      <c r="C3" s="57" t="s">
        <v>358</v>
      </c>
      <c r="D3" s="55"/>
      <c r="E3" s="55"/>
    </row>
    <row r="4" spans="1:15" ht="25.8" customHeight="1" x14ac:dyDescent="0.5">
      <c r="A4" s="884"/>
      <c r="B4" s="55"/>
      <c r="C4" s="57" t="str">
        <f>"COST (EST.): "&amp;TEXT(SUM(N10:N11),"$0,000.00")</f>
        <v>COST (EST.): $2,035.00</v>
      </c>
      <c r="D4" s="55"/>
      <c r="E4" s="55"/>
    </row>
    <row r="5" spans="1:15" ht="72" customHeight="1" x14ac:dyDescent="0.3">
      <c r="A5" s="884"/>
      <c r="B5" s="55"/>
      <c r="C5" s="55"/>
      <c r="D5" s="55"/>
      <c r="E5" s="55"/>
    </row>
    <row r="6" spans="1:15" ht="72" customHeight="1" x14ac:dyDescent="0.3">
      <c r="A6" s="884"/>
      <c r="B6" s="55"/>
      <c r="C6" s="55"/>
      <c r="D6" s="55"/>
      <c r="E6" s="55"/>
    </row>
    <row r="7" spans="1:15" ht="72" customHeight="1" x14ac:dyDescent="0.3">
      <c r="A7" s="884"/>
      <c r="B7" s="55"/>
      <c r="C7" s="55"/>
      <c r="D7" s="55"/>
      <c r="E7" s="55"/>
    </row>
    <row r="8" spans="1:15" ht="72" customHeight="1" thickBot="1" x14ac:dyDescent="0.35">
      <c r="A8" s="884"/>
      <c r="B8" s="55"/>
      <c r="C8" s="55"/>
      <c r="D8" s="55"/>
      <c r="E8" s="55"/>
    </row>
    <row r="9" spans="1:15" s="4" customFormat="1" ht="18" customHeight="1" thickBot="1" x14ac:dyDescent="0.35">
      <c r="A9" s="54"/>
      <c r="B9" s="58"/>
      <c r="C9" s="385" t="s">
        <v>1</v>
      </c>
      <c r="D9" s="386"/>
      <c r="E9" s="387" t="s">
        <v>2</v>
      </c>
      <c r="F9" s="387" t="s">
        <v>3</v>
      </c>
      <c r="G9" s="388" t="s">
        <v>4</v>
      </c>
      <c r="H9" s="388" t="s">
        <v>5</v>
      </c>
      <c r="I9" s="388" t="s">
        <v>6</v>
      </c>
      <c r="J9" s="389" t="s">
        <v>7</v>
      </c>
      <c r="K9" s="388" t="s">
        <v>8</v>
      </c>
      <c r="L9" s="386"/>
      <c r="M9" s="389" t="s">
        <v>283</v>
      </c>
      <c r="N9" s="214" t="s">
        <v>352</v>
      </c>
      <c r="O9" s="388" t="s">
        <v>10</v>
      </c>
    </row>
    <row r="10" spans="1:15" s="8" customFormat="1" ht="34.5" customHeight="1" x14ac:dyDescent="0.3">
      <c r="A10" s="60"/>
      <c r="B10" s="59"/>
      <c r="C10" s="19" t="s">
        <v>13</v>
      </c>
      <c r="D10" s="49" t="s">
        <v>24</v>
      </c>
      <c r="E10" s="65">
        <v>6</v>
      </c>
      <c r="F10" s="66">
        <v>1</v>
      </c>
      <c r="G10" s="25" t="s">
        <v>130</v>
      </c>
      <c r="H10" s="25" t="s">
        <v>136</v>
      </c>
      <c r="I10" s="25" t="s">
        <v>42</v>
      </c>
      <c r="J10" s="71" t="s">
        <v>137</v>
      </c>
      <c r="K10" s="25" t="s">
        <v>30</v>
      </c>
      <c r="L10" s="25"/>
      <c r="M10" s="159">
        <v>2301.65</v>
      </c>
      <c r="N10" s="159">
        <f>ROUNDUP(M10*0.6, 0)</f>
        <v>1381</v>
      </c>
      <c r="O10" s="25" t="s">
        <v>299</v>
      </c>
    </row>
    <row r="11" spans="1:15" s="8" customFormat="1" ht="34.5" customHeight="1" thickBot="1" x14ac:dyDescent="0.35">
      <c r="A11" s="60"/>
      <c r="B11" s="59"/>
      <c r="C11" s="21" t="s">
        <v>14</v>
      </c>
      <c r="D11" s="240" t="s">
        <v>132</v>
      </c>
      <c r="E11" s="241">
        <v>6</v>
      </c>
      <c r="F11" s="242">
        <v>4</v>
      </c>
      <c r="G11" s="364" t="s">
        <v>138</v>
      </c>
      <c r="H11" s="244" t="s">
        <v>36</v>
      </c>
      <c r="I11" s="365" t="s">
        <v>133</v>
      </c>
      <c r="J11" s="245" t="s">
        <v>134</v>
      </c>
      <c r="K11" s="244" t="s">
        <v>135</v>
      </c>
      <c r="L11" s="244"/>
      <c r="M11" s="162">
        <v>1089.24</v>
      </c>
      <c r="N11" s="162">
        <f>ROUNDUP(M11*0.6, 0 )</f>
        <v>654</v>
      </c>
      <c r="O11" s="244" t="s">
        <v>298</v>
      </c>
    </row>
    <row r="12" spans="1:15" s="8" customFormat="1" ht="18" customHeight="1" x14ac:dyDescent="0.3">
      <c r="A12" s="60"/>
      <c r="B12" s="59"/>
      <c r="C12" s="59"/>
      <c r="D12" s="59"/>
      <c r="E12" s="59"/>
      <c r="O12" s="318" t="s">
        <v>385</v>
      </c>
    </row>
    <row r="13" spans="1:15" s="8" customFormat="1" ht="18" customHeight="1" x14ac:dyDescent="0.3">
      <c r="A13" s="60"/>
      <c r="B13" s="59"/>
      <c r="C13" s="59"/>
      <c r="D13" s="59"/>
      <c r="E13" s="59"/>
    </row>
    <row r="14" spans="1:15" s="8" customFormat="1" ht="18" customHeight="1" x14ac:dyDescent="0.3">
      <c r="A14" s="60"/>
      <c r="B14" s="59"/>
      <c r="C14" s="59"/>
      <c r="D14" s="59"/>
      <c r="E14" s="59"/>
    </row>
    <row r="15" spans="1:15" s="8" customFormat="1" ht="18" customHeight="1" x14ac:dyDescent="0.3">
      <c r="A15" s="60"/>
      <c r="B15" s="59"/>
      <c r="C15" s="59"/>
      <c r="D15" s="394"/>
      <c r="E15" s="395"/>
      <c r="F15" s="370"/>
      <c r="G15" s="390"/>
      <c r="H15" s="91"/>
      <c r="I15" s="391"/>
      <c r="J15" s="91"/>
      <c r="K15" s="91"/>
      <c r="L15" s="91"/>
      <c r="M15" s="373"/>
      <c r="N15" s="373"/>
      <c r="O15" s="91"/>
    </row>
    <row r="16" spans="1:15" s="8" customFormat="1" ht="18" customHeight="1" x14ac:dyDescent="0.3">
      <c r="A16" s="60"/>
      <c r="B16" s="59"/>
      <c r="C16" s="59"/>
      <c r="D16" s="394"/>
      <c r="E16" s="395"/>
      <c r="F16" s="370"/>
      <c r="G16" s="91"/>
      <c r="H16" s="91"/>
      <c r="I16" s="91"/>
      <c r="J16" s="91"/>
      <c r="K16" s="91"/>
      <c r="L16" s="91"/>
      <c r="M16" s="373"/>
      <c r="N16" s="373"/>
      <c r="O16" s="91"/>
    </row>
    <row r="17" spans="1:15" s="8" customFormat="1" ht="18" customHeight="1" x14ac:dyDescent="0.3">
      <c r="A17" s="60"/>
      <c r="B17" s="59"/>
      <c r="C17" s="59"/>
      <c r="D17" s="59"/>
      <c r="E17" s="59"/>
    </row>
    <row r="18" spans="1:15" s="8" customFormat="1" ht="18" customHeight="1" x14ac:dyDescent="0.3">
      <c r="A18" s="60"/>
      <c r="B18" s="59"/>
      <c r="C18" s="59"/>
      <c r="D18" s="59"/>
      <c r="E18" s="59"/>
    </row>
    <row r="19" spans="1:15" s="8" customFormat="1" ht="18" customHeight="1" x14ac:dyDescent="0.3">
      <c r="A19" s="60"/>
      <c r="B19" s="59"/>
      <c r="C19" s="59"/>
      <c r="D19" s="59"/>
      <c r="E19" s="59"/>
    </row>
    <row r="20" spans="1:15" s="8" customFormat="1" ht="18" customHeight="1" x14ac:dyDescent="0.3">
      <c r="A20" s="60"/>
      <c r="B20" s="59"/>
      <c r="C20" s="59"/>
      <c r="D20" s="59"/>
      <c r="E20" s="59"/>
    </row>
    <row r="21" spans="1:15" s="8" customFormat="1" ht="18" customHeight="1" x14ac:dyDescent="0.3">
      <c r="A21" s="60"/>
      <c r="B21" s="59"/>
      <c r="C21" s="59"/>
      <c r="D21" s="59"/>
      <c r="E21" s="59"/>
    </row>
    <row r="22" spans="1:15" s="8" customFormat="1" ht="18" customHeight="1" x14ac:dyDescent="0.3">
      <c r="A22" s="60"/>
      <c r="B22" s="59"/>
      <c r="C22" s="59"/>
      <c r="D22" s="59"/>
      <c r="E22" s="59"/>
    </row>
    <row r="23" spans="1:15" s="8" customFormat="1" ht="18" customHeight="1" x14ac:dyDescent="0.3">
      <c r="A23" s="60"/>
      <c r="B23" s="59"/>
      <c r="C23" s="59"/>
      <c r="D23" s="59"/>
      <c r="E23" s="59"/>
    </row>
    <row r="24" spans="1:15" s="8" customFormat="1" ht="18" customHeight="1" x14ac:dyDescent="0.3">
      <c r="A24" s="885" t="s">
        <v>0</v>
      </c>
      <c r="B24" s="59"/>
      <c r="C24" s="59"/>
      <c r="D24" s="59"/>
      <c r="E24" s="59"/>
    </row>
    <row r="25" spans="1:15" s="8" customFormat="1" ht="18" customHeight="1" x14ac:dyDescent="0.3">
      <c r="A25" s="885"/>
      <c r="B25" s="59"/>
      <c r="C25" s="59"/>
      <c r="D25" s="59"/>
      <c r="E25" s="59"/>
    </row>
    <row r="26" spans="1:15" s="8" customFormat="1" ht="18" customHeight="1" x14ac:dyDescent="0.3">
      <c r="A26" s="885"/>
      <c r="B26" s="59"/>
      <c r="C26" s="59"/>
      <c r="D26" s="59"/>
      <c r="E26" s="59"/>
    </row>
    <row r="27" spans="1:15" s="8" customFormat="1" ht="18" customHeight="1" thickBot="1" x14ac:dyDescent="0.35">
      <c r="A27" s="885"/>
      <c r="B27" s="59"/>
      <c r="C27" s="59"/>
      <c r="D27" s="59"/>
      <c r="E27" s="59"/>
    </row>
    <row r="28" spans="1:15" ht="35.25" customHeight="1" x14ac:dyDescent="0.3">
      <c r="A28" s="669"/>
      <c r="B28" s="670"/>
      <c r="C28" s="670"/>
      <c r="D28" s="670"/>
      <c r="E28" s="670"/>
      <c r="F28" s="671"/>
      <c r="G28" s="671"/>
      <c r="H28" s="671"/>
      <c r="I28" s="671"/>
      <c r="J28" s="671"/>
      <c r="K28" s="671"/>
      <c r="L28" s="671"/>
      <c r="M28" s="671"/>
      <c r="N28" s="671"/>
      <c r="O28" s="671"/>
    </row>
    <row r="29" spans="1:15" ht="32.4" customHeight="1" x14ac:dyDescent="0.3">
      <c r="A29" s="883" t="s">
        <v>83</v>
      </c>
      <c r="B29" s="55"/>
      <c r="C29" s="56" t="s">
        <v>139</v>
      </c>
      <c r="D29" s="55"/>
      <c r="E29" s="55"/>
      <c r="O29" s="328" t="s">
        <v>34</v>
      </c>
    </row>
    <row r="30" spans="1:15" ht="25.8" customHeight="1" x14ac:dyDescent="0.5">
      <c r="A30" s="884"/>
      <c r="B30" s="55"/>
      <c r="C30" s="57" t="s">
        <v>358</v>
      </c>
      <c r="D30" s="55"/>
      <c r="E30" s="55"/>
    </row>
    <row r="31" spans="1:15" ht="25.8" customHeight="1" x14ac:dyDescent="0.5">
      <c r="A31" s="884"/>
      <c r="B31" s="55"/>
      <c r="C31" s="57" t="str">
        <f>"COST (EST.): "&amp;TEXT(SUM(N37:N38),"$0,000.00")</f>
        <v>COST (EST.): $3,219.00</v>
      </c>
      <c r="D31" s="55"/>
      <c r="E31" s="55"/>
    </row>
    <row r="32" spans="1:15" ht="72" customHeight="1" x14ac:dyDescent="0.3">
      <c r="A32" s="884"/>
      <c r="B32" s="55"/>
      <c r="C32" s="55"/>
      <c r="D32" s="55"/>
      <c r="E32" s="55"/>
    </row>
    <row r="33" spans="1:15" ht="72" customHeight="1" x14ac:dyDescent="0.3">
      <c r="A33" s="884"/>
      <c r="B33" s="55"/>
      <c r="C33" s="55"/>
      <c r="D33" s="55"/>
      <c r="E33" s="55"/>
    </row>
    <row r="34" spans="1:15" ht="72" customHeight="1" x14ac:dyDescent="0.3">
      <c r="A34" s="884"/>
      <c r="B34" s="55"/>
      <c r="C34" s="55"/>
      <c r="D34" s="55"/>
      <c r="E34" s="55"/>
    </row>
    <row r="35" spans="1:15" ht="72" customHeight="1" x14ac:dyDescent="0.3">
      <c r="A35" s="884"/>
      <c r="B35" s="55"/>
      <c r="C35" s="55"/>
      <c r="D35" s="55"/>
      <c r="E35" s="55"/>
    </row>
    <row r="36" spans="1:15" s="4" customFormat="1" ht="18" customHeight="1" thickBot="1" x14ac:dyDescent="0.35">
      <c r="A36" s="54"/>
      <c r="B36" s="58"/>
      <c r="C36" s="194" t="s">
        <v>1</v>
      </c>
      <c r="D36" s="195"/>
      <c r="E36" s="213" t="s">
        <v>2</v>
      </c>
      <c r="F36" s="213" t="s">
        <v>3</v>
      </c>
      <c r="G36" s="194" t="s">
        <v>4</v>
      </c>
      <c r="H36" s="194" t="s">
        <v>5</v>
      </c>
      <c r="I36" s="194" t="s">
        <v>6</v>
      </c>
      <c r="J36" s="214" t="s">
        <v>7</v>
      </c>
      <c r="K36" s="194" t="s">
        <v>8</v>
      </c>
      <c r="L36" s="195"/>
      <c r="M36" s="214" t="s">
        <v>283</v>
      </c>
      <c r="N36" s="214" t="s">
        <v>352</v>
      </c>
      <c r="O36" s="194" t="s">
        <v>10</v>
      </c>
    </row>
    <row r="37" spans="1:15" s="8" customFormat="1" ht="34.5" customHeight="1" x14ac:dyDescent="0.3">
      <c r="A37" s="60"/>
      <c r="B37" s="59"/>
      <c r="C37" s="19" t="s">
        <v>13</v>
      </c>
      <c r="D37" s="94" t="s">
        <v>140</v>
      </c>
      <c r="E37" s="63">
        <v>6</v>
      </c>
      <c r="F37" s="64">
        <v>1</v>
      </c>
      <c r="G37" s="46" t="s">
        <v>36</v>
      </c>
      <c r="H37" s="46" t="s">
        <v>36</v>
      </c>
      <c r="I37" s="46" t="s">
        <v>142</v>
      </c>
      <c r="J37" s="86" t="s">
        <v>143</v>
      </c>
      <c r="K37" s="23" t="s">
        <v>29</v>
      </c>
      <c r="L37" s="41"/>
      <c r="M37" s="155">
        <v>4739</v>
      </c>
      <c r="N37" s="158">
        <f>ROUNDUP(M37*0.6, 0)</f>
        <v>2844</v>
      </c>
      <c r="O37" s="23" t="s">
        <v>291</v>
      </c>
    </row>
    <row r="38" spans="1:15" s="8" customFormat="1" ht="34.5" customHeight="1" thickBot="1" x14ac:dyDescent="0.35">
      <c r="A38" s="60"/>
      <c r="B38" s="59"/>
      <c r="C38" s="21" t="s">
        <v>14</v>
      </c>
      <c r="D38" s="50" t="s">
        <v>141</v>
      </c>
      <c r="E38" s="67">
        <v>6</v>
      </c>
      <c r="F38" s="68">
        <v>1</v>
      </c>
      <c r="G38" s="27" t="s">
        <v>41</v>
      </c>
      <c r="H38" s="27" t="s">
        <v>145</v>
      </c>
      <c r="I38" s="27" t="s">
        <v>36</v>
      </c>
      <c r="J38" s="72" t="s">
        <v>144</v>
      </c>
      <c r="K38" s="27" t="s">
        <v>30</v>
      </c>
      <c r="L38" s="45"/>
      <c r="M38" s="157">
        <v>624</v>
      </c>
      <c r="N38" s="161">
        <f>ROUNDUP(M38*0.6, 0)</f>
        <v>375</v>
      </c>
      <c r="O38" s="27" t="s">
        <v>300</v>
      </c>
    </row>
    <row r="39" spans="1:15" s="8" customFormat="1" ht="18" customHeight="1" x14ac:dyDescent="0.3">
      <c r="A39" s="60"/>
      <c r="B39" s="59"/>
      <c r="C39" s="59"/>
      <c r="D39" s="59"/>
      <c r="E39" s="59"/>
      <c r="O39" s="318" t="s">
        <v>385</v>
      </c>
    </row>
    <row r="40" spans="1:15" s="8" customFormat="1" ht="18" customHeight="1" x14ac:dyDescent="0.3">
      <c r="A40" s="60"/>
      <c r="B40" s="59"/>
      <c r="C40" s="59"/>
      <c r="D40" s="59"/>
      <c r="E40" s="59"/>
    </row>
    <row r="41" spans="1:15" s="8" customFormat="1" ht="18" customHeight="1" x14ac:dyDescent="0.3">
      <c r="A41" s="60"/>
      <c r="B41" s="59"/>
      <c r="C41" s="59"/>
      <c r="D41" s="59"/>
      <c r="E41" s="59"/>
    </row>
    <row r="42" spans="1:15" s="8" customFormat="1" ht="18" customHeight="1" x14ac:dyDescent="0.3">
      <c r="A42" s="60"/>
      <c r="B42" s="59"/>
      <c r="C42" s="59"/>
      <c r="D42" s="59"/>
      <c r="E42" s="59"/>
    </row>
    <row r="43" spans="1:15" s="8" customFormat="1" ht="18" customHeight="1" x14ac:dyDescent="0.3">
      <c r="A43" s="60"/>
      <c r="B43" s="59"/>
      <c r="C43" s="59"/>
      <c r="D43" s="59"/>
      <c r="E43" s="59"/>
    </row>
    <row r="44" spans="1:15" s="8" customFormat="1" ht="18" customHeight="1" x14ac:dyDescent="0.3">
      <c r="A44" s="60"/>
      <c r="B44" s="59"/>
      <c r="C44" s="59"/>
      <c r="D44" s="59"/>
      <c r="E44" s="59"/>
    </row>
    <row r="45" spans="1:15" s="8" customFormat="1" ht="18" customHeight="1" x14ac:dyDescent="0.3">
      <c r="A45" s="60"/>
      <c r="B45" s="59"/>
      <c r="C45" s="59"/>
      <c r="D45" s="59"/>
      <c r="E45" s="59"/>
    </row>
    <row r="46" spans="1:15" s="8" customFormat="1" ht="18" customHeight="1" x14ac:dyDescent="0.3">
      <c r="A46" s="60"/>
      <c r="B46" s="59"/>
      <c r="C46" s="59"/>
      <c r="D46" s="59"/>
      <c r="E46" s="59"/>
    </row>
    <row r="47" spans="1:15" s="8" customFormat="1" ht="18" customHeight="1" x14ac:dyDescent="0.3">
      <c r="A47" s="60"/>
      <c r="B47" s="59"/>
      <c r="C47" s="59"/>
      <c r="D47" s="59"/>
      <c r="E47" s="59"/>
    </row>
    <row r="48" spans="1:15" s="8" customFormat="1" ht="18" customHeight="1" x14ac:dyDescent="0.3">
      <c r="A48" s="60"/>
      <c r="B48" s="59"/>
      <c r="C48" s="59"/>
      <c r="D48" s="59"/>
      <c r="E48" s="59"/>
    </row>
    <row r="49" spans="1:15" s="8" customFormat="1" ht="18" customHeight="1" x14ac:dyDescent="0.3">
      <c r="A49" s="60"/>
      <c r="B49" s="59"/>
      <c r="C49" s="59"/>
      <c r="D49" s="59"/>
      <c r="E49" s="59"/>
    </row>
    <row r="50" spans="1:15" s="8" customFormat="1" ht="18" customHeight="1" x14ac:dyDescent="0.3">
      <c r="A50" s="60"/>
      <c r="B50" s="59"/>
      <c r="C50" s="59"/>
      <c r="D50" s="59"/>
      <c r="E50" s="59"/>
    </row>
    <row r="51" spans="1:15" s="8" customFormat="1" ht="18" customHeight="1" x14ac:dyDescent="0.3">
      <c r="A51" s="885" t="s">
        <v>32</v>
      </c>
      <c r="B51" s="59"/>
      <c r="C51" s="59"/>
      <c r="D51" s="59"/>
      <c r="E51" s="59"/>
    </row>
    <row r="52" spans="1:15" s="8" customFormat="1" ht="18" customHeight="1" x14ac:dyDescent="0.3">
      <c r="A52" s="885"/>
      <c r="B52" s="59"/>
      <c r="C52" s="59"/>
      <c r="D52" s="59"/>
      <c r="E52" s="59"/>
    </row>
    <row r="53" spans="1:15" s="8" customFormat="1" ht="18" customHeight="1" x14ac:dyDescent="0.3">
      <c r="A53" s="885"/>
      <c r="B53" s="59"/>
      <c r="C53" s="59"/>
      <c r="D53" s="59"/>
      <c r="E53" s="59"/>
    </row>
    <row r="54" spans="1:15" s="8" customFormat="1" ht="18" customHeight="1" thickBot="1" x14ac:dyDescent="0.35">
      <c r="A54" s="885"/>
      <c r="B54" s="59"/>
      <c r="C54" s="59"/>
      <c r="D54" s="59"/>
      <c r="E54" s="59"/>
    </row>
    <row r="55" spans="1:15" ht="18" customHeight="1" x14ac:dyDescent="0.3">
      <c r="A55" s="672"/>
      <c r="B55" s="671"/>
      <c r="C55" s="671"/>
      <c r="D55" s="671"/>
      <c r="E55" s="671"/>
      <c r="F55" s="671"/>
      <c r="G55" s="671"/>
      <c r="H55" s="671"/>
      <c r="I55" s="671"/>
      <c r="J55" s="671"/>
      <c r="K55" s="671"/>
      <c r="L55" s="671"/>
      <c r="M55" s="671"/>
      <c r="N55" s="671"/>
      <c r="O55" s="671"/>
    </row>
  </sheetData>
  <sheetProtection sheet="1" objects="1" scenarios="1" selectLockedCells="1"/>
  <mergeCells count="4">
    <mergeCell ref="A2:A8"/>
    <mergeCell ref="A24:A27"/>
    <mergeCell ref="A29:A35"/>
    <mergeCell ref="A51:A54"/>
  </mergeCells>
  <conditionalFormatting sqref="A1:XFD1048576">
    <cfRule type="cellIs" dxfId="26" priority="1" operator="equal">
      <formula>"N/A"</formula>
    </cfRule>
  </conditionalFormatting>
  <hyperlinks>
    <hyperlink ref="O2" location="ToC!A1" display="Return to Table of Contents"/>
    <hyperlink ref="O29" location="ToC!A1" display="Return to Table of Contents"/>
  </hyperlinks>
  <printOptions verticalCentered="1"/>
  <pageMargins left="0.5" right="0.5" top="0" bottom="0" header="0.3" footer="0.3"/>
  <pageSetup paperSize="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CD1"/>
  </sheetPr>
  <dimension ref="A1:O83"/>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4"/>
      <c r="B1" s="55"/>
      <c r="C1" s="55"/>
      <c r="D1" s="55"/>
      <c r="E1" s="55"/>
    </row>
    <row r="2" spans="1:15" ht="32.4" customHeight="1" x14ac:dyDescent="0.3">
      <c r="A2" s="883" t="s">
        <v>83</v>
      </c>
      <c r="B2" s="55"/>
      <c r="C2" s="56" t="s">
        <v>146</v>
      </c>
      <c r="D2" s="55"/>
      <c r="E2" s="55"/>
      <c r="O2" s="328" t="s">
        <v>34</v>
      </c>
    </row>
    <row r="3" spans="1:15" ht="25.8" customHeight="1" x14ac:dyDescent="0.5">
      <c r="A3" s="884"/>
      <c r="B3" s="55"/>
      <c r="C3" s="57" t="s">
        <v>399</v>
      </c>
      <c r="D3" s="55"/>
      <c r="E3" s="55"/>
    </row>
    <row r="4" spans="1:15" ht="25.8" customHeight="1" x14ac:dyDescent="0.5">
      <c r="A4" s="884"/>
      <c r="B4" s="55"/>
      <c r="C4" s="57" t="str">
        <f>"COST (EST.): "&amp;TEXT(SUM(N10:N11),"$0,000.00")</f>
        <v>COST (EST.): $3,801.00</v>
      </c>
      <c r="D4" s="55"/>
      <c r="E4" s="55"/>
    </row>
    <row r="5" spans="1:15" ht="72" customHeight="1" x14ac:dyDescent="0.3">
      <c r="A5" s="884"/>
      <c r="B5" s="55"/>
      <c r="C5" s="55"/>
      <c r="D5" s="55"/>
      <c r="E5" s="55"/>
    </row>
    <row r="6" spans="1:15" ht="72" customHeight="1" x14ac:dyDescent="0.3">
      <c r="A6" s="884"/>
      <c r="B6" s="55"/>
      <c r="C6" s="55"/>
      <c r="D6" s="55"/>
      <c r="E6" s="55"/>
    </row>
    <row r="7" spans="1:15" ht="72" customHeight="1" x14ac:dyDescent="0.3">
      <c r="A7" s="884"/>
      <c r="B7" s="55"/>
      <c r="C7" s="55"/>
      <c r="D7" s="55"/>
      <c r="E7" s="55"/>
    </row>
    <row r="8" spans="1:15" ht="72" customHeight="1" x14ac:dyDescent="0.3">
      <c r="A8" s="884"/>
      <c r="B8" s="55"/>
      <c r="C8" s="55"/>
      <c r="D8" s="55"/>
      <c r="E8" s="55"/>
    </row>
    <row r="9" spans="1:15" s="4" customFormat="1" ht="18" customHeight="1" thickBot="1" x14ac:dyDescent="0.35">
      <c r="A9" s="54"/>
      <c r="B9" s="58"/>
      <c r="C9" s="198" t="s">
        <v>1</v>
      </c>
      <c r="D9" s="199"/>
      <c r="E9" s="215" t="s">
        <v>2</v>
      </c>
      <c r="F9" s="215" t="s">
        <v>3</v>
      </c>
      <c r="G9" s="198" t="s">
        <v>4</v>
      </c>
      <c r="H9" s="198" t="s">
        <v>5</v>
      </c>
      <c r="I9" s="198" t="s">
        <v>6</v>
      </c>
      <c r="J9" s="216" t="s">
        <v>7</v>
      </c>
      <c r="K9" s="198" t="s">
        <v>8</v>
      </c>
      <c r="L9" s="199"/>
      <c r="M9" s="217" t="s">
        <v>283</v>
      </c>
      <c r="N9" s="214" t="s">
        <v>352</v>
      </c>
      <c r="O9" s="198" t="s">
        <v>10</v>
      </c>
    </row>
    <row r="10" spans="1:15" s="8" customFormat="1" ht="34.5" customHeight="1" x14ac:dyDescent="0.3">
      <c r="A10" s="60"/>
      <c r="B10" s="59"/>
      <c r="C10" s="19" t="s">
        <v>13</v>
      </c>
      <c r="D10" s="48" t="s">
        <v>104</v>
      </c>
      <c r="E10" s="63">
        <v>6</v>
      </c>
      <c r="F10" s="64">
        <v>2</v>
      </c>
      <c r="G10" s="98" t="s">
        <v>40</v>
      </c>
      <c r="H10" s="23" t="s">
        <v>37</v>
      </c>
      <c r="I10" s="37" t="s">
        <v>112</v>
      </c>
      <c r="J10" s="99" t="s">
        <v>147</v>
      </c>
      <c r="K10" s="23" t="s">
        <v>29</v>
      </c>
      <c r="L10" s="23"/>
      <c r="M10" s="179">
        <v>3500.4</v>
      </c>
      <c r="N10" s="158">
        <f>ROUNDUP(M10*0.6, 0)</f>
        <v>2101</v>
      </c>
      <c r="O10" s="23" t="s">
        <v>301</v>
      </c>
    </row>
    <row r="11" spans="1:15" s="8" customFormat="1" ht="34.5" customHeight="1" thickBot="1" x14ac:dyDescent="0.35">
      <c r="A11" s="60"/>
      <c r="B11" s="59"/>
      <c r="C11" s="21" t="s">
        <v>14</v>
      </c>
      <c r="D11" s="50" t="s">
        <v>24</v>
      </c>
      <c r="E11" s="67" t="s">
        <v>19</v>
      </c>
      <c r="F11" s="68">
        <v>1</v>
      </c>
      <c r="G11" s="27" t="s">
        <v>148</v>
      </c>
      <c r="H11" s="27" t="s">
        <v>56</v>
      </c>
      <c r="I11" s="27" t="s">
        <v>149</v>
      </c>
      <c r="J11" s="72" t="s">
        <v>150</v>
      </c>
      <c r="K11" s="27" t="s">
        <v>30</v>
      </c>
      <c r="L11" s="27"/>
      <c r="M11" s="180">
        <v>2832</v>
      </c>
      <c r="N11" s="289">
        <f>ROUNDUP(M11*0.6, 0)</f>
        <v>1700</v>
      </c>
      <c r="O11" s="27" t="s">
        <v>36</v>
      </c>
    </row>
    <row r="12" spans="1:15" s="8" customFormat="1" ht="18" customHeight="1" x14ac:dyDescent="0.3">
      <c r="A12" s="60"/>
      <c r="B12" s="59"/>
      <c r="C12" s="59"/>
      <c r="D12" s="59"/>
      <c r="E12" s="59"/>
      <c r="O12" s="318" t="s">
        <v>385</v>
      </c>
    </row>
    <row r="13" spans="1:15" s="8" customFormat="1" ht="18" customHeight="1" x14ac:dyDescent="0.3">
      <c r="A13" s="60"/>
      <c r="B13" s="59"/>
      <c r="C13" s="59"/>
      <c r="D13" s="59"/>
      <c r="E13" s="59"/>
    </row>
    <row r="14" spans="1:15" s="8" customFormat="1" ht="18" customHeight="1" x14ac:dyDescent="0.3">
      <c r="A14" s="60"/>
      <c r="B14" s="59"/>
      <c r="C14" s="59"/>
      <c r="D14" s="59"/>
      <c r="E14" s="59"/>
    </row>
    <row r="15" spans="1:15" s="8" customFormat="1" ht="18" customHeight="1" x14ac:dyDescent="0.3">
      <c r="A15" s="60"/>
      <c r="B15" s="59"/>
      <c r="C15" s="59"/>
      <c r="D15" s="59"/>
      <c r="E15" s="59"/>
    </row>
    <row r="16" spans="1:15" s="8" customFormat="1" ht="18" customHeight="1" x14ac:dyDescent="0.3">
      <c r="A16" s="60"/>
      <c r="B16" s="59"/>
      <c r="C16" s="59"/>
      <c r="D16" s="59"/>
      <c r="E16" s="59"/>
    </row>
    <row r="17" spans="1:15" s="8" customFormat="1" ht="18" customHeight="1" x14ac:dyDescent="0.3">
      <c r="A17" s="60"/>
      <c r="B17" s="59"/>
      <c r="C17" s="59"/>
      <c r="D17" s="59"/>
      <c r="E17" s="59"/>
    </row>
    <row r="18" spans="1:15" s="8" customFormat="1" ht="18" customHeight="1" x14ac:dyDescent="0.3">
      <c r="A18" s="60"/>
      <c r="B18" s="59"/>
      <c r="C18" s="59"/>
      <c r="D18" s="59"/>
      <c r="E18" s="59"/>
    </row>
    <row r="19" spans="1:15" s="8" customFormat="1" ht="18" customHeight="1" x14ac:dyDescent="0.3">
      <c r="A19" s="60"/>
      <c r="B19" s="59"/>
      <c r="C19" s="59"/>
      <c r="D19" s="59"/>
      <c r="E19" s="59"/>
    </row>
    <row r="20" spans="1:15" s="8" customFormat="1" ht="18" customHeight="1" x14ac:dyDescent="0.3">
      <c r="A20" s="60"/>
      <c r="B20" s="59"/>
      <c r="C20" s="59"/>
      <c r="D20" s="59"/>
      <c r="E20" s="59"/>
    </row>
    <row r="21" spans="1:15" s="8" customFormat="1" ht="18" customHeight="1" x14ac:dyDescent="0.3">
      <c r="A21" s="60"/>
      <c r="B21" s="59"/>
      <c r="C21" s="59"/>
      <c r="D21" s="59"/>
      <c r="E21" s="59"/>
    </row>
    <row r="22" spans="1:15" s="8" customFormat="1" ht="18" customHeight="1" x14ac:dyDescent="0.3">
      <c r="A22" s="60"/>
      <c r="B22" s="59"/>
      <c r="C22" s="59"/>
      <c r="D22" s="59"/>
      <c r="E22" s="59"/>
    </row>
    <row r="23" spans="1:15" s="8" customFormat="1" ht="18" customHeight="1" x14ac:dyDescent="0.3">
      <c r="A23" s="60"/>
      <c r="B23" s="59"/>
      <c r="C23" s="59"/>
      <c r="D23" s="59"/>
      <c r="E23" s="59"/>
    </row>
    <row r="24" spans="1:15" s="8" customFormat="1" ht="18" customHeight="1" x14ac:dyDescent="0.3">
      <c r="A24" s="885" t="s">
        <v>0</v>
      </c>
      <c r="B24" s="59"/>
      <c r="C24" s="59"/>
      <c r="D24" s="59"/>
      <c r="E24" s="59"/>
    </row>
    <row r="25" spans="1:15" s="8" customFormat="1" ht="18" customHeight="1" x14ac:dyDescent="0.3">
      <c r="A25" s="885"/>
      <c r="B25" s="59"/>
      <c r="C25" s="59"/>
      <c r="D25" s="59"/>
      <c r="E25" s="59"/>
    </row>
    <row r="26" spans="1:15" s="8" customFormat="1" ht="18" customHeight="1" x14ac:dyDescent="0.3">
      <c r="A26" s="885"/>
      <c r="B26" s="59"/>
      <c r="C26" s="59"/>
      <c r="D26" s="59"/>
      <c r="E26" s="59"/>
    </row>
    <row r="27" spans="1:15" s="8" customFormat="1" ht="18" customHeight="1" thickBot="1" x14ac:dyDescent="0.35">
      <c r="A27" s="885"/>
      <c r="B27" s="59"/>
      <c r="C27" s="59"/>
      <c r="D27" s="59"/>
      <c r="E27" s="59"/>
    </row>
    <row r="28" spans="1:15" ht="35.25" customHeight="1" x14ac:dyDescent="0.3">
      <c r="A28" s="669"/>
      <c r="B28" s="670"/>
      <c r="C28" s="670"/>
      <c r="D28" s="670"/>
      <c r="E28" s="670"/>
      <c r="F28" s="671"/>
      <c r="G28" s="671"/>
      <c r="H28" s="671"/>
      <c r="I28" s="671"/>
      <c r="J28" s="671"/>
      <c r="K28" s="671"/>
      <c r="L28" s="671"/>
      <c r="M28" s="671"/>
      <c r="N28" s="671"/>
      <c r="O28" s="671"/>
    </row>
    <row r="29" spans="1:15" ht="32.4" customHeight="1" x14ac:dyDescent="0.3">
      <c r="A29" s="883" t="s">
        <v>83</v>
      </c>
      <c r="B29" s="55"/>
      <c r="C29" s="56" t="s">
        <v>151</v>
      </c>
      <c r="D29" s="55"/>
      <c r="E29" s="55"/>
      <c r="O29" s="328" t="s">
        <v>34</v>
      </c>
    </row>
    <row r="30" spans="1:15" ht="25.8" customHeight="1" x14ac:dyDescent="0.5">
      <c r="A30" s="884"/>
      <c r="B30" s="55"/>
      <c r="C30" s="57" t="s">
        <v>370</v>
      </c>
      <c r="D30" s="55"/>
      <c r="E30" s="55"/>
    </row>
    <row r="31" spans="1:15" ht="25.8" customHeight="1" x14ac:dyDescent="0.5">
      <c r="A31" s="884"/>
      <c r="B31" s="55"/>
      <c r="C31" s="57" t="str">
        <f>"COST (EST.): "&amp;TEXT(SUM(N37:N38),"$0,000.00")</f>
        <v>COST (EST.): $5,426.00</v>
      </c>
      <c r="D31" s="55"/>
      <c r="E31" s="55"/>
    </row>
    <row r="32" spans="1:15" ht="72" customHeight="1" x14ac:dyDescent="0.3">
      <c r="A32" s="884"/>
      <c r="B32" s="55"/>
      <c r="C32" s="55"/>
      <c r="D32" s="55"/>
      <c r="E32" s="55"/>
    </row>
    <row r="33" spans="1:15" ht="72" customHeight="1" x14ac:dyDescent="0.3">
      <c r="A33" s="884"/>
      <c r="B33" s="55"/>
      <c r="C33" s="55"/>
      <c r="D33" s="55"/>
      <c r="E33" s="55"/>
    </row>
    <row r="34" spans="1:15" ht="72" customHeight="1" x14ac:dyDescent="0.3">
      <c r="A34" s="884"/>
      <c r="B34" s="55"/>
      <c r="C34" s="55"/>
      <c r="D34" s="55"/>
      <c r="E34" s="55"/>
    </row>
    <row r="35" spans="1:15" ht="72" customHeight="1" x14ac:dyDescent="0.3">
      <c r="A35" s="884"/>
      <c r="B35" s="55"/>
      <c r="C35" s="55"/>
      <c r="D35" s="55"/>
      <c r="E35" s="55"/>
    </row>
    <row r="36" spans="1:15" s="4" customFormat="1" ht="18" customHeight="1" thickBot="1" x14ac:dyDescent="0.35">
      <c r="A36" s="54"/>
      <c r="B36" s="58"/>
      <c r="C36" s="198" t="s">
        <v>1</v>
      </c>
      <c r="D36" s="199"/>
      <c r="E36" s="215" t="s">
        <v>2</v>
      </c>
      <c r="F36" s="215" t="s">
        <v>3</v>
      </c>
      <c r="G36" s="198" t="s">
        <v>4</v>
      </c>
      <c r="H36" s="198" t="s">
        <v>5</v>
      </c>
      <c r="I36" s="198" t="s">
        <v>6</v>
      </c>
      <c r="J36" s="216" t="s">
        <v>7</v>
      </c>
      <c r="K36" s="198" t="s">
        <v>8</v>
      </c>
      <c r="L36" s="199"/>
      <c r="M36" s="198" t="s">
        <v>283</v>
      </c>
      <c r="N36" s="214" t="s">
        <v>352</v>
      </c>
      <c r="O36" s="198" t="s">
        <v>10</v>
      </c>
    </row>
    <row r="37" spans="1:15" s="8" customFormat="1" ht="34.5" customHeight="1" x14ac:dyDescent="0.3">
      <c r="A37" s="60"/>
      <c r="B37" s="59"/>
      <c r="C37" s="19" t="s">
        <v>13</v>
      </c>
      <c r="D37" s="94" t="s">
        <v>104</v>
      </c>
      <c r="E37" s="63">
        <v>6</v>
      </c>
      <c r="F37" s="64">
        <v>2</v>
      </c>
      <c r="G37" s="46" t="s">
        <v>40</v>
      </c>
      <c r="H37" s="46" t="s">
        <v>37</v>
      </c>
      <c r="I37" s="46" t="s">
        <v>112</v>
      </c>
      <c r="J37" s="86" t="s">
        <v>153</v>
      </c>
      <c r="K37" s="23" t="s">
        <v>29</v>
      </c>
      <c r="L37" s="41"/>
      <c r="M37" s="181">
        <v>6210</v>
      </c>
      <c r="N37" s="158">
        <f>ROUNDUP(M37*0.6, 0 )</f>
        <v>3726</v>
      </c>
      <c r="O37" s="23" t="s">
        <v>302</v>
      </c>
    </row>
    <row r="38" spans="1:15" s="8" customFormat="1" ht="34.5" customHeight="1" thickBot="1" x14ac:dyDescent="0.35">
      <c r="A38" s="60"/>
      <c r="B38" s="59"/>
      <c r="C38" s="21" t="s">
        <v>14</v>
      </c>
      <c r="D38" s="50" t="s">
        <v>24</v>
      </c>
      <c r="E38" s="67" t="s">
        <v>19</v>
      </c>
      <c r="F38" s="68">
        <v>1</v>
      </c>
      <c r="G38" s="27" t="s">
        <v>41</v>
      </c>
      <c r="H38" s="27" t="s">
        <v>145</v>
      </c>
      <c r="I38" s="27" t="s">
        <v>152</v>
      </c>
      <c r="J38" s="183" t="s">
        <v>303</v>
      </c>
      <c r="K38" s="27" t="s">
        <v>30</v>
      </c>
      <c r="L38" s="45"/>
      <c r="M38" s="182">
        <v>2832</v>
      </c>
      <c r="N38" s="289">
        <f>ROUNDUP(M38*0.6,0)</f>
        <v>1700</v>
      </c>
      <c r="O38" s="27" t="s">
        <v>36</v>
      </c>
    </row>
    <row r="39" spans="1:15" s="8" customFormat="1" ht="18" customHeight="1" x14ac:dyDescent="0.3">
      <c r="A39" s="60"/>
      <c r="B39" s="59"/>
      <c r="C39" s="59"/>
      <c r="D39" s="59"/>
      <c r="E39" s="59"/>
      <c r="O39" s="318" t="s">
        <v>385</v>
      </c>
    </row>
    <row r="40" spans="1:15" s="8" customFormat="1" ht="18" customHeight="1" x14ac:dyDescent="0.3">
      <c r="A40" s="60"/>
      <c r="B40" s="59"/>
      <c r="C40" s="59"/>
      <c r="D40" s="59"/>
      <c r="E40" s="59"/>
    </row>
    <row r="41" spans="1:15" s="8" customFormat="1" ht="18" customHeight="1" x14ac:dyDescent="0.3">
      <c r="A41" s="60"/>
      <c r="B41" s="59"/>
      <c r="C41" s="59"/>
      <c r="D41" s="59"/>
      <c r="E41" s="59"/>
    </row>
    <row r="42" spans="1:15" s="8" customFormat="1" ht="18" customHeight="1" x14ac:dyDescent="0.3">
      <c r="A42" s="60"/>
      <c r="B42" s="59"/>
      <c r="C42" s="59"/>
      <c r="D42" s="59"/>
      <c r="E42" s="59"/>
    </row>
    <row r="43" spans="1:15" s="8" customFormat="1" ht="18" customHeight="1" x14ac:dyDescent="0.3">
      <c r="A43" s="60"/>
      <c r="B43" s="59"/>
      <c r="C43" s="59"/>
      <c r="D43" s="59"/>
      <c r="E43" s="59"/>
    </row>
    <row r="44" spans="1:15" s="8" customFormat="1" ht="18" customHeight="1" x14ac:dyDescent="0.3">
      <c r="A44" s="60"/>
      <c r="B44" s="59"/>
      <c r="C44" s="59"/>
      <c r="D44" s="59"/>
      <c r="E44" s="59"/>
    </row>
    <row r="45" spans="1:15" s="8" customFormat="1" ht="18" customHeight="1" x14ac:dyDescent="0.3">
      <c r="A45" s="60"/>
      <c r="B45" s="59"/>
      <c r="C45" s="59"/>
      <c r="D45" s="59"/>
      <c r="E45" s="59"/>
    </row>
    <row r="46" spans="1:15" s="8" customFormat="1" ht="18" customHeight="1" x14ac:dyDescent="0.3">
      <c r="A46" s="60"/>
      <c r="B46" s="59"/>
      <c r="C46" s="59"/>
      <c r="D46" s="59"/>
      <c r="E46" s="59"/>
    </row>
    <row r="47" spans="1:15" s="8" customFormat="1" ht="18" customHeight="1" x14ac:dyDescent="0.3">
      <c r="A47" s="60"/>
      <c r="B47" s="59"/>
      <c r="C47" s="59"/>
      <c r="D47" s="59"/>
      <c r="E47" s="59"/>
    </row>
    <row r="48" spans="1:15" s="8" customFormat="1" ht="18" customHeight="1" x14ac:dyDescent="0.3">
      <c r="A48" s="60"/>
      <c r="B48" s="59"/>
      <c r="C48" s="59"/>
      <c r="D48" s="59"/>
      <c r="E48" s="59"/>
    </row>
    <row r="49" spans="1:15" s="8" customFormat="1" ht="18" customHeight="1" x14ac:dyDescent="0.3">
      <c r="A49" s="60"/>
      <c r="B49" s="59"/>
      <c r="C49" s="59"/>
      <c r="D49" s="59"/>
      <c r="E49" s="59"/>
    </row>
    <row r="50" spans="1:15" s="8" customFormat="1" ht="18" customHeight="1" x14ac:dyDescent="0.3">
      <c r="A50" s="60"/>
      <c r="B50" s="59"/>
      <c r="C50" s="59"/>
      <c r="D50" s="59"/>
      <c r="E50" s="59"/>
    </row>
    <row r="51" spans="1:15" s="8" customFormat="1" ht="18" customHeight="1" x14ac:dyDescent="0.3">
      <c r="A51" s="885" t="s">
        <v>32</v>
      </c>
      <c r="B51" s="59"/>
      <c r="C51" s="59"/>
      <c r="D51" s="59"/>
      <c r="E51" s="59"/>
    </row>
    <row r="52" spans="1:15" s="8" customFormat="1" ht="18" customHeight="1" x14ac:dyDescent="0.3">
      <c r="A52" s="885"/>
      <c r="B52" s="59"/>
      <c r="C52" s="59"/>
      <c r="D52" s="59"/>
      <c r="E52" s="59"/>
    </row>
    <row r="53" spans="1:15" s="8" customFormat="1" ht="18" customHeight="1" x14ac:dyDescent="0.3">
      <c r="A53" s="885"/>
      <c r="B53" s="59"/>
      <c r="C53" s="59"/>
      <c r="D53" s="59"/>
      <c r="E53" s="59"/>
    </row>
    <row r="54" spans="1:15" s="8" customFormat="1" ht="18" customHeight="1" thickBot="1" x14ac:dyDescent="0.35">
      <c r="A54" s="885"/>
      <c r="B54" s="59"/>
      <c r="C54" s="59"/>
      <c r="D54" s="59"/>
      <c r="E54" s="59"/>
    </row>
    <row r="55" spans="1:15" ht="35.25" customHeight="1" x14ac:dyDescent="0.3">
      <c r="A55" s="669"/>
      <c r="B55" s="670"/>
      <c r="C55" s="670"/>
      <c r="D55" s="670"/>
      <c r="E55" s="670"/>
      <c r="F55" s="671"/>
      <c r="G55" s="671"/>
      <c r="H55" s="671"/>
      <c r="I55" s="671"/>
      <c r="J55" s="671"/>
      <c r="K55" s="671"/>
      <c r="L55" s="671"/>
      <c r="M55" s="671"/>
      <c r="N55" s="671"/>
      <c r="O55" s="671"/>
    </row>
    <row r="56" spans="1:15" ht="32.4" customHeight="1" x14ac:dyDescent="0.3">
      <c r="A56" s="883" t="s">
        <v>83</v>
      </c>
      <c r="B56" s="55"/>
      <c r="C56" s="56" t="s">
        <v>398</v>
      </c>
      <c r="D56" s="55"/>
      <c r="E56" s="55"/>
      <c r="O56" s="328" t="s">
        <v>34</v>
      </c>
    </row>
    <row r="57" spans="1:15" ht="25.8" customHeight="1" x14ac:dyDescent="0.5">
      <c r="A57" s="884"/>
      <c r="B57" s="55"/>
      <c r="C57" s="687" t="s">
        <v>482</v>
      </c>
      <c r="D57" s="55"/>
      <c r="E57" s="55"/>
    </row>
    <row r="58" spans="1:15" ht="25.8" customHeight="1" x14ac:dyDescent="0.5">
      <c r="A58" s="884"/>
      <c r="B58" s="55"/>
      <c r="C58" s="57" t="str">
        <f>"COST (EST.): "&amp;TEXT(SUM(N64:N64),"$0,000.00")</f>
        <v>COST (EST.): $7,847.00</v>
      </c>
      <c r="D58" s="55"/>
      <c r="E58" s="55"/>
    </row>
    <row r="59" spans="1:15" ht="72" customHeight="1" x14ac:dyDescent="0.3">
      <c r="A59" s="884"/>
      <c r="B59" s="55"/>
      <c r="C59" s="55"/>
      <c r="D59" s="55"/>
      <c r="E59" s="55"/>
    </row>
    <row r="60" spans="1:15" ht="72" customHeight="1" x14ac:dyDescent="0.3">
      <c r="A60" s="884"/>
      <c r="B60" s="55"/>
      <c r="C60" s="55"/>
      <c r="D60" s="55"/>
      <c r="E60" s="55"/>
    </row>
    <row r="61" spans="1:15" ht="72" customHeight="1" x14ac:dyDescent="0.3">
      <c r="A61" s="884"/>
      <c r="B61" s="55"/>
      <c r="C61" s="55"/>
      <c r="D61" s="55"/>
      <c r="E61" s="55"/>
    </row>
    <row r="62" spans="1:15" ht="72" customHeight="1" x14ac:dyDescent="0.3">
      <c r="A62" s="884"/>
      <c r="B62" s="55"/>
      <c r="C62" s="55"/>
      <c r="D62" s="55"/>
      <c r="E62" s="55"/>
    </row>
    <row r="63" spans="1:15" s="4" customFormat="1" ht="18" customHeight="1" thickBot="1" x14ac:dyDescent="0.35">
      <c r="A63" s="54"/>
      <c r="B63" s="58"/>
      <c r="C63" s="198" t="s">
        <v>1</v>
      </c>
      <c r="D63" s="199"/>
      <c r="E63" s="215" t="s">
        <v>2</v>
      </c>
      <c r="F63" s="215" t="s">
        <v>3</v>
      </c>
      <c r="G63" s="198" t="s">
        <v>4</v>
      </c>
      <c r="H63" s="198" t="s">
        <v>5</v>
      </c>
      <c r="I63" s="198" t="s">
        <v>6</v>
      </c>
      <c r="J63" s="216" t="s">
        <v>7</v>
      </c>
      <c r="K63" s="198" t="s">
        <v>8</v>
      </c>
      <c r="L63" s="199"/>
      <c r="M63" s="198" t="s">
        <v>283</v>
      </c>
      <c r="N63" s="214" t="s">
        <v>352</v>
      </c>
      <c r="O63" s="198" t="s">
        <v>10</v>
      </c>
    </row>
    <row r="64" spans="1:15" s="8" customFormat="1" ht="34.5" customHeight="1" thickBot="1" x14ac:dyDescent="0.35">
      <c r="A64" s="60"/>
      <c r="B64" s="59"/>
      <c r="C64" s="443" t="s">
        <v>13</v>
      </c>
      <c r="D64" s="444" t="s">
        <v>404</v>
      </c>
      <c r="E64" s="445">
        <v>6</v>
      </c>
      <c r="F64" s="446">
        <v>1</v>
      </c>
      <c r="G64" s="447" t="s">
        <v>401</v>
      </c>
      <c r="H64" s="447" t="s">
        <v>402</v>
      </c>
      <c r="I64" s="447" t="s">
        <v>403</v>
      </c>
      <c r="J64" s="448" t="s">
        <v>342</v>
      </c>
      <c r="K64" s="449" t="s">
        <v>115</v>
      </c>
      <c r="L64" s="450"/>
      <c r="M64" s="451">
        <v>13078</v>
      </c>
      <c r="N64" s="452">
        <f>ROUNDUP(M64*0.6, 0 )</f>
        <v>7847</v>
      </c>
      <c r="O64" s="449" t="s">
        <v>400</v>
      </c>
    </row>
    <row r="65" spans="1:15" s="8" customFormat="1" ht="18" customHeight="1" x14ac:dyDescent="0.3">
      <c r="A65" s="60"/>
      <c r="B65" s="59"/>
      <c r="C65" s="59"/>
      <c r="D65" s="59"/>
      <c r="E65" s="59"/>
      <c r="O65" s="318" t="s">
        <v>385</v>
      </c>
    </row>
    <row r="66" spans="1:15" s="8" customFormat="1" ht="18" customHeight="1" x14ac:dyDescent="0.3">
      <c r="A66" s="60"/>
      <c r="B66" s="59"/>
      <c r="C66" s="59"/>
      <c r="D66" s="59"/>
      <c r="E66" s="59"/>
    </row>
    <row r="67" spans="1:15" s="8" customFormat="1" ht="18" customHeight="1" x14ac:dyDescent="0.3">
      <c r="A67" s="60"/>
      <c r="B67" s="59"/>
      <c r="C67" s="59"/>
      <c r="D67" s="59"/>
      <c r="E67" s="59"/>
    </row>
    <row r="68" spans="1:15" s="8" customFormat="1" ht="18" customHeight="1" x14ac:dyDescent="0.3">
      <c r="A68" s="60"/>
      <c r="B68" s="59"/>
      <c r="C68" s="59"/>
      <c r="D68" s="59"/>
      <c r="E68" s="59"/>
    </row>
    <row r="69" spans="1:15" s="8" customFormat="1" ht="18" customHeight="1" x14ac:dyDescent="0.3">
      <c r="A69" s="60"/>
      <c r="B69" s="59"/>
      <c r="C69" s="59"/>
      <c r="D69" s="59"/>
      <c r="E69" s="59"/>
    </row>
    <row r="70" spans="1:15" s="8" customFormat="1" ht="18" customHeight="1" x14ac:dyDescent="0.3">
      <c r="A70" s="60"/>
      <c r="B70" s="59"/>
      <c r="C70" s="59"/>
      <c r="D70" s="59"/>
      <c r="E70" s="59"/>
    </row>
    <row r="71" spans="1:15" s="8" customFormat="1" ht="18" customHeight="1" x14ac:dyDescent="0.3">
      <c r="A71" s="60"/>
      <c r="B71" s="59"/>
      <c r="C71" s="59"/>
      <c r="D71" s="59"/>
      <c r="E71" s="59"/>
    </row>
    <row r="72" spans="1:15" s="8" customFormat="1" ht="18" customHeight="1" x14ac:dyDescent="0.3">
      <c r="A72" s="60"/>
      <c r="B72" s="59"/>
      <c r="C72" s="59"/>
      <c r="D72" s="59"/>
      <c r="E72" s="59"/>
    </row>
    <row r="73" spans="1:15" s="8" customFormat="1" ht="18" customHeight="1" x14ac:dyDescent="0.3">
      <c r="A73" s="60"/>
      <c r="B73" s="59"/>
      <c r="C73" s="59"/>
      <c r="D73" s="59"/>
      <c r="E73" s="59"/>
    </row>
    <row r="74" spans="1:15" s="8" customFormat="1" ht="18" customHeight="1" x14ac:dyDescent="0.3">
      <c r="A74" s="60"/>
      <c r="B74" s="59"/>
      <c r="C74" s="59"/>
      <c r="D74" s="59"/>
      <c r="E74" s="59"/>
    </row>
    <row r="75" spans="1:15" s="8" customFormat="1" ht="18" customHeight="1" x14ac:dyDescent="0.3">
      <c r="A75" s="60"/>
      <c r="B75" s="59"/>
      <c r="C75" s="59"/>
      <c r="D75" s="59"/>
      <c r="E75" s="59"/>
    </row>
    <row r="76" spans="1:15" s="8" customFormat="1" ht="18" customHeight="1" x14ac:dyDescent="0.3">
      <c r="A76" s="60"/>
      <c r="B76" s="59"/>
      <c r="C76" s="59"/>
      <c r="D76" s="59"/>
      <c r="E76" s="59"/>
    </row>
    <row r="77" spans="1:15" s="8" customFormat="1" ht="18" customHeight="1" x14ac:dyDescent="0.3">
      <c r="A77" s="60"/>
      <c r="B77" s="59"/>
      <c r="C77" s="59"/>
      <c r="D77" s="59"/>
      <c r="E77" s="59"/>
    </row>
    <row r="78" spans="1:15" s="8" customFormat="1" ht="18" customHeight="1" x14ac:dyDescent="0.3">
      <c r="A78" s="60"/>
      <c r="B78" s="59"/>
      <c r="C78" s="59"/>
      <c r="D78" s="59"/>
      <c r="E78" s="59"/>
    </row>
    <row r="79" spans="1:15" s="8" customFormat="1" ht="18" customHeight="1" x14ac:dyDescent="0.3">
      <c r="A79" s="886" t="s">
        <v>35</v>
      </c>
      <c r="B79" s="59"/>
      <c r="C79" s="59"/>
      <c r="D79" s="59"/>
      <c r="E79" s="59"/>
    </row>
    <row r="80" spans="1:15" s="8" customFormat="1" ht="18" customHeight="1" x14ac:dyDescent="0.3">
      <c r="A80" s="885"/>
      <c r="B80" s="59"/>
      <c r="C80" s="59"/>
      <c r="D80" s="59"/>
      <c r="E80" s="59"/>
    </row>
    <row r="81" spans="1:15" s="8" customFormat="1" ht="18" customHeight="1" x14ac:dyDescent="0.3">
      <c r="A81" s="885"/>
      <c r="B81" s="59"/>
      <c r="C81" s="59"/>
      <c r="D81" s="59"/>
      <c r="E81" s="59"/>
    </row>
    <row r="82" spans="1:15" s="8" customFormat="1" ht="18" customHeight="1" thickBot="1" x14ac:dyDescent="0.35">
      <c r="A82" s="885"/>
      <c r="B82" s="59"/>
      <c r="C82" s="59"/>
      <c r="D82" s="59"/>
      <c r="E82" s="59"/>
    </row>
    <row r="83" spans="1:15" ht="18" customHeight="1" x14ac:dyDescent="0.3">
      <c r="A83" s="672"/>
      <c r="B83" s="671"/>
      <c r="C83" s="671"/>
      <c r="D83" s="671"/>
      <c r="E83" s="671"/>
      <c r="F83" s="671"/>
      <c r="G83" s="671"/>
      <c r="H83" s="671"/>
      <c r="I83" s="671"/>
      <c r="J83" s="671"/>
      <c r="K83" s="671"/>
      <c r="L83" s="671"/>
      <c r="M83" s="671"/>
      <c r="N83" s="671"/>
      <c r="O83" s="671"/>
    </row>
  </sheetData>
  <sheetProtection sheet="1" objects="1" scenarios="1" selectLockedCells="1"/>
  <mergeCells count="6">
    <mergeCell ref="A79:A82"/>
    <mergeCell ref="A2:A8"/>
    <mergeCell ref="A24:A27"/>
    <mergeCell ref="A29:A35"/>
    <mergeCell ref="A51:A54"/>
    <mergeCell ref="A56:A62"/>
  </mergeCells>
  <conditionalFormatting sqref="A1:XFD8 A64:XFD1048576 A63:M63 O63:XFD63 A37:XFD62 A36:M36 O36:XFD36 A10:XFD35 A9:M9 O9:XFD9">
    <cfRule type="cellIs" dxfId="25" priority="4" operator="equal">
      <formula>"N/A"</formula>
    </cfRule>
  </conditionalFormatting>
  <conditionalFormatting sqref="N63">
    <cfRule type="cellIs" dxfId="24" priority="3" operator="equal">
      <formula>"N/A"</formula>
    </cfRule>
  </conditionalFormatting>
  <conditionalFormatting sqref="N36">
    <cfRule type="cellIs" dxfId="23" priority="2" operator="equal">
      <formula>"N/A"</formula>
    </cfRule>
  </conditionalFormatting>
  <conditionalFormatting sqref="N9">
    <cfRule type="cellIs" dxfId="22" priority="1" operator="equal">
      <formula>"N/A"</formula>
    </cfRule>
  </conditionalFormatting>
  <hyperlinks>
    <hyperlink ref="O2" location="ToC!A1" display="Return to Table of Contents"/>
    <hyperlink ref="O29" location="ToC!A1" display="Return to Table of Contents"/>
    <hyperlink ref="O56" location="ToC!A1" display="Return to Table of Contents"/>
  </hyperlinks>
  <printOptions verticalCentered="1"/>
  <pageMargins left="0.5" right="0.5" top="0" bottom="0" header="0.3" footer="0.3"/>
  <pageSetup paperSize="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CD1"/>
  </sheetPr>
  <dimension ref="A1:O238"/>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4"/>
      <c r="B1" s="55"/>
      <c r="C1" s="55"/>
      <c r="D1" s="55"/>
      <c r="E1" s="55"/>
    </row>
    <row r="2" spans="1:15" ht="32.4" customHeight="1" x14ac:dyDescent="0.3">
      <c r="A2" s="883" t="s">
        <v>83</v>
      </c>
      <c r="B2" s="55"/>
      <c r="C2" s="56" t="s">
        <v>154</v>
      </c>
      <c r="D2" s="55"/>
      <c r="E2" s="55"/>
      <c r="O2" s="328" t="s">
        <v>34</v>
      </c>
    </row>
    <row r="3" spans="1:15" ht="25.8" customHeight="1" x14ac:dyDescent="0.5">
      <c r="A3" s="884"/>
      <c r="B3" s="55"/>
      <c r="C3" s="57" t="s">
        <v>369</v>
      </c>
      <c r="D3" s="55"/>
      <c r="E3" s="55"/>
    </row>
    <row r="4" spans="1:15" ht="25.8" customHeight="1" x14ac:dyDescent="0.5">
      <c r="A4" s="884"/>
      <c r="B4" s="55"/>
      <c r="C4" s="57" t="str">
        <f>"COST (EST.): "&amp;TEXT(SUM(N10:N12),"$0,000.00")</f>
        <v>COST (EST.): $5,693.00</v>
      </c>
      <c r="D4" s="55"/>
      <c r="E4" s="55"/>
    </row>
    <row r="5" spans="1:15" ht="72" customHeight="1" x14ac:dyDescent="0.3">
      <c r="A5" s="884"/>
      <c r="B5" s="55"/>
      <c r="C5" s="55"/>
      <c r="D5" s="55"/>
      <c r="E5" s="55"/>
    </row>
    <row r="6" spans="1:15" ht="72" customHeight="1" x14ac:dyDescent="0.3">
      <c r="A6" s="884"/>
      <c r="B6" s="55"/>
      <c r="C6" s="55"/>
      <c r="D6" s="55"/>
      <c r="E6" s="55"/>
    </row>
    <row r="7" spans="1:15" ht="72" customHeight="1" x14ac:dyDescent="0.3">
      <c r="A7" s="884"/>
      <c r="B7" s="55"/>
      <c r="C7" s="55"/>
      <c r="D7" s="55"/>
      <c r="E7" s="55"/>
    </row>
    <row r="8" spans="1:15" ht="72" customHeight="1" x14ac:dyDescent="0.3">
      <c r="A8" s="884"/>
      <c r="B8" s="55"/>
      <c r="C8" s="55"/>
      <c r="D8" s="55"/>
      <c r="E8" s="55"/>
    </row>
    <row r="9" spans="1:15" s="4" customFormat="1" ht="18" customHeight="1" thickBot="1" x14ac:dyDescent="0.35">
      <c r="A9" s="54"/>
      <c r="B9" s="58"/>
      <c r="C9" s="10" t="s">
        <v>1</v>
      </c>
      <c r="D9" s="5"/>
      <c r="E9" s="62" t="s">
        <v>2</v>
      </c>
      <c r="F9" s="62" t="s">
        <v>3</v>
      </c>
      <c r="G9" s="10" t="s">
        <v>4</v>
      </c>
      <c r="H9" s="10" t="s">
        <v>5</v>
      </c>
      <c r="I9" s="10" t="s">
        <v>6</v>
      </c>
      <c r="J9" s="69" t="s">
        <v>7</v>
      </c>
      <c r="K9" s="10" t="s">
        <v>8</v>
      </c>
      <c r="L9" s="5"/>
      <c r="M9" s="69" t="s">
        <v>283</v>
      </c>
      <c r="N9" s="214" t="s">
        <v>352</v>
      </c>
      <c r="O9" s="10" t="s">
        <v>10</v>
      </c>
    </row>
    <row r="10" spans="1:15" s="8" customFormat="1" ht="34.5" customHeight="1" x14ac:dyDescent="0.3">
      <c r="A10" s="60"/>
      <c r="B10" s="59"/>
      <c r="C10" s="19" t="s">
        <v>13</v>
      </c>
      <c r="D10" s="48" t="s">
        <v>104</v>
      </c>
      <c r="E10" s="63">
        <v>6</v>
      </c>
      <c r="F10" s="64">
        <v>2</v>
      </c>
      <c r="G10" s="37" t="s">
        <v>158</v>
      </c>
      <c r="H10" s="23" t="s">
        <v>37</v>
      </c>
      <c r="I10" s="37" t="s">
        <v>112</v>
      </c>
      <c r="J10" s="70" t="s">
        <v>155</v>
      </c>
      <c r="K10" s="23" t="s">
        <v>29</v>
      </c>
      <c r="L10" s="23"/>
      <c r="M10" s="158">
        <v>5712</v>
      </c>
      <c r="N10" s="158">
        <f>ROUNDUP(M10*0.6, 0)</f>
        <v>3428</v>
      </c>
      <c r="O10" s="23" t="s">
        <v>321</v>
      </c>
    </row>
    <row r="11" spans="1:15" s="8" customFormat="1" ht="34.5" customHeight="1" x14ac:dyDescent="0.3">
      <c r="A11" s="60"/>
      <c r="B11" s="59"/>
      <c r="C11" s="20" t="s">
        <v>14</v>
      </c>
      <c r="D11" s="49" t="s">
        <v>118</v>
      </c>
      <c r="E11" s="65">
        <v>6</v>
      </c>
      <c r="F11" s="66">
        <v>3</v>
      </c>
      <c r="G11" s="38" t="s">
        <v>159</v>
      </c>
      <c r="H11" s="38" t="s">
        <v>56</v>
      </c>
      <c r="I11" s="38" t="s">
        <v>152</v>
      </c>
      <c r="J11" s="74" t="s">
        <v>156</v>
      </c>
      <c r="K11" s="25" t="s">
        <v>30</v>
      </c>
      <c r="L11" s="25"/>
      <c r="M11" s="159">
        <v>2598</v>
      </c>
      <c r="N11" s="158">
        <f>ROUNDUP(M11*0.6, 0)</f>
        <v>1559</v>
      </c>
      <c r="O11" s="25" t="s">
        <v>322</v>
      </c>
    </row>
    <row r="12" spans="1:15" s="8" customFormat="1" ht="34.5" customHeight="1" thickBot="1" x14ac:dyDescent="0.35">
      <c r="A12" s="60"/>
      <c r="B12" s="59"/>
      <c r="C12" s="21" t="s">
        <v>15</v>
      </c>
      <c r="D12" s="96" t="s">
        <v>132</v>
      </c>
      <c r="E12" s="67">
        <v>6</v>
      </c>
      <c r="F12" s="68">
        <v>3</v>
      </c>
      <c r="G12" s="27" t="s">
        <v>36</v>
      </c>
      <c r="H12" s="27" t="s">
        <v>160</v>
      </c>
      <c r="I12" s="100" t="s">
        <v>133</v>
      </c>
      <c r="J12" s="72" t="s">
        <v>157</v>
      </c>
      <c r="K12" s="27" t="s">
        <v>135</v>
      </c>
      <c r="L12" s="27"/>
      <c r="M12" s="161">
        <v>1175.8799999999999</v>
      </c>
      <c r="N12" s="162">
        <f>ROUNDUP(M12*0.6, 0)</f>
        <v>706</v>
      </c>
      <c r="O12" s="27" t="s">
        <v>323</v>
      </c>
    </row>
    <row r="13" spans="1:15" s="8" customFormat="1" ht="18" customHeight="1" x14ac:dyDescent="0.3">
      <c r="A13" s="60"/>
      <c r="B13" s="59"/>
      <c r="C13" s="59"/>
      <c r="D13" s="59"/>
      <c r="E13" s="59"/>
      <c r="O13" s="318" t="s">
        <v>385</v>
      </c>
    </row>
    <row r="14" spans="1:15" s="8" customFormat="1" ht="18" customHeight="1" x14ac:dyDescent="0.3">
      <c r="A14" s="60"/>
      <c r="B14" s="59"/>
      <c r="C14" s="59"/>
      <c r="D14" s="59"/>
      <c r="E14" s="59"/>
    </row>
    <row r="15" spans="1:15" s="8" customFormat="1" ht="18" customHeight="1" x14ac:dyDescent="0.3">
      <c r="A15" s="60"/>
      <c r="B15" s="59"/>
      <c r="C15" s="59"/>
      <c r="D15" s="59"/>
      <c r="E15" s="59"/>
    </row>
    <row r="16" spans="1:15" s="8" customFormat="1" ht="18" customHeight="1" x14ac:dyDescent="0.3">
      <c r="A16" s="60"/>
      <c r="B16" s="59"/>
      <c r="C16" s="59"/>
      <c r="D16" s="59"/>
      <c r="E16" s="59"/>
    </row>
    <row r="17" spans="1:15" s="8" customFormat="1" ht="18" customHeight="1" x14ac:dyDescent="0.3">
      <c r="A17" s="60"/>
      <c r="B17" s="59"/>
      <c r="C17" s="59"/>
      <c r="D17" s="59"/>
      <c r="E17" s="59"/>
    </row>
    <row r="18" spans="1:15" s="8" customFormat="1" ht="18" customHeight="1" x14ac:dyDescent="0.3">
      <c r="A18" s="60"/>
      <c r="B18" s="59"/>
      <c r="C18" s="59"/>
      <c r="D18" s="59"/>
      <c r="E18" s="59"/>
    </row>
    <row r="19" spans="1:15" s="8" customFormat="1" ht="18" customHeight="1" x14ac:dyDescent="0.3">
      <c r="A19" s="60"/>
      <c r="B19" s="59"/>
      <c r="C19" s="59"/>
      <c r="D19" s="59"/>
      <c r="E19" s="59"/>
    </row>
    <row r="20" spans="1:15" s="8" customFormat="1" ht="18" customHeight="1" x14ac:dyDescent="0.3">
      <c r="A20" s="60"/>
      <c r="B20" s="59"/>
      <c r="C20" s="59"/>
      <c r="D20" s="59"/>
      <c r="E20" s="59"/>
    </row>
    <row r="21" spans="1:15" s="8" customFormat="1" ht="18" customHeight="1" x14ac:dyDescent="0.3">
      <c r="A21" s="60"/>
      <c r="B21" s="59"/>
      <c r="C21" s="59"/>
      <c r="D21" s="59"/>
      <c r="E21" s="59"/>
    </row>
    <row r="22" spans="1:15" s="8" customFormat="1" ht="18" customHeight="1" x14ac:dyDescent="0.3">
      <c r="A22" s="60"/>
      <c r="B22" s="59"/>
      <c r="C22" s="59"/>
      <c r="D22" s="59"/>
      <c r="E22" s="59"/>
    </row>
    <row r="23" spans="1:15" s="8" customFormat="1" ht="18" customHeight="1" x14ac:dyDescent="0.3">
      <c r="A23" s="885" t="s">
        <v>0</v>
      </c>
      <c r="B23" s="59"/>
      <c r="C23" s="59"/>
      <c r="D23" s="59"/>
      <c r="E23" s="59"/>
    </row>
    <row r="24" spans="1:15" s="8" customFormat="1" ht="18" customHeight="1" x14ac:dyDescent="0.3">
      <c r="A24" s="885"/>
      <c r="B24" s="59"/>
      <c r="C24" s="59"/>
      <c r="D24" s="59"/>
      <c r="E24" s="59"/>
    </row>
    <row r="25" spans="1:15" s="8" customFormat="1" ht="18" customHeight="1" x14ac:dyDescent="0.3">
      <c r="A25" s="885"/>
      <c r="B25" s="59"/>
      <c r="C25" s="59"/>
      <c r="D25" s="59"/>
      <c r="E25" s="59"/>
    </row>
    <row r="26" spans="1:15" s="8" customFormat="1" ht="18" customHeight="1" thickBot="1" x14ac:dyDescent="0.35">
      <c r="A26" s="885"/>
      <c r="B26" s="59"/>
      <c r="C26" s="59"/>
      <c r="D26" s="59"/>
      <c r="E26" s="59"/>
    </row>
    <row r="27" spans="1:15" ht="35.25" customHeight="1" x14ac:dyDescent="0.3">
      <c r="A27" s="669"/>
      <c r="B27" s="670"/>
      <c r="C27" s="670"/>
      <c r="D27" s="670"/>
      <c r="E27" s="670"/>
      <c r="F27" s="671"/>
      <c r="G27" s="671"/>
      <c r="H27" s="671"/>
      <c r="I27" s="671"/>
      <c r="J27" s="671"/>
      <c r="K27" s="671"/>
      <c r="L27" s="671"/>
      <c r="M27" s="671"/>
      <c r="N27" s="671"/>
      <c r="O27" s="671"/>
    </row>
    <row r="28" spans="1:15" ht="32.4" customHeight="1" x14ac:dyDescent="0.3">
      <c r="A28" s="883" t="s">
        <v>83</v>
      </c>
      <c r="B28" s="55"/>
      <c r="C28" s="56" t="s">
        <v>161</v>
      </c>
      <c r="D28" s="55"/>
      <c r="E28" s="55"/>
      <c r="O28" s="328" t="s">
        <v>34</v>
      </c>
    </row>
    <row r="29" spans="1:15" ht="25.8" customHeight="1" x14ac:dyDescent="0.5">
      <c r="A29" s="884"/>
      <c r="B29" s="55"/>
      <c r="C29" s="57" t="s">
        <v>362</v>
      </c>
      <c r="D29" s="55"/>
      <c r="E29" s="55"/>
    </row>
    <row r="30" spans="1:15" ht="25.8" customHeight="1" x14ac:dyDescent="0.5">
      <c r="A30" s="884"/>
      <c r="B30" s="55"/>
      <c r="C30" s="57" t="str">
        <f>"COST (EST.): "&amp;TEXT(SUM(N36:N39),"$0,000.00")</f>
        <v>COST (EST.): $2,487.00</v>
      </c>
      <c r="D30" s="55"/>
      <c r="E30" s="55"/>
    </row>
    <row r="31" spans="1:15" ht="72" customHeight="1" x14ac:dyDescent="0.3">
      <c r="A31" s="884"/>
      <c r="B31" s="55"/>
      <c r="C31" s="55"/>
      <c r="D31" s="55"/>
      <c r="E31" s="55"/>
    </row>
    <row r="32" spans="1:15" ht="72" customHeight="1" x14ac:dyDescent="0.3">
      <c r="A32" s="884"/>
      <c r="B32" s="55"/>
      <c r="C32" s="55"/>
      <c r="D32" s="55"/>
      <c r="E32" s="55"/>
    </row>
    <row r="33" spans="1:15" ht="72" customHeight="1" x14ac:dyDescent="0.3">
      <c r="A33" s="884"/>
      <c r="B33" s="55"/>
      <c r="C33" s="55"/>
      <c r="D33" s="55"/>
      <c r="E33" s="55"/>
    </row>
    <row r="34" spans="1:15" ht="72" customHeight="1" x14ac:dyDescent="0.3">
      <c r="A34" s="884"/>
      <c r="B34" s="55"/>
      <c r="C34" s="55"/>
      <c r="D34" s="55"/>
      <c r="E34" s="55"/>
    </row>
    <row r="35" spans="1:15" s="4" customFormat="1" ht="18" customHeight="1" thickBot="1" x14ac:dyDescent="0.35">
      <c r="A35" s="54"/>
      <c r="B35" s="58"/>
      <c r="C35" s="10" t="s">
        <v>1</v>
      </c>
      <c r="D35" s="5"/>
      <c r="E35" s="62" t="s">
        <v>2</v>
      </c>
      <c r="F35" s="62" t="s">
        <v>3</v>
      </c>
      <c r="G35" s="10" t="s">
        <v>4</v>
      </c>
      <c r="H35" s="10" t="s">
        <v>5</v>
      </c>
      <c r="I35" s="10" t="s">
        <v>6</v>
      </c>
      <c r="J35" s="69" t="s">
        <v>7</v>
      </c>
      <c r="K35" s="10" t="s">
        <v>8</v>
      </c>
      <c r="L35" s="5"/>
      <c r="M35" s="235" t="s">
        <v>283</v>
      </c>
      <c r="N35" s="214" t="s">
        <v>352</v>
      </c>
      <c r="O35" s="10" t="s">
        <v>10</v>
      </c>
    </row>
    <row r="36" spans="1:15" s="8" customFormat="1" ht="34.5" customHeight="1" x14ac:dyDescent="0.3">
      <c r="A36" s="60"/>
      <c r="B36" s="59"/>
      <c r="C36" s="19" t="s">
        <v>13</v>
      </c>
      <c r="D36" s="94" t="s">
        <v>132</v>
      </c>
      <c r="E36" s="63">
        <v>6</v>
      </c>
      <c r="F36" s="64">
        <v>3</v>
      </c>
      <c r="G36" s="46" t="s">
        <v>36</v>
      </c>
      <c r="H36" s="46" t="s">
        <v>160</v>
      </c>
      <c r="I36" s="46" t="s">
        <v>133</v>
      </c>
      <c r="J36" s="86" t="s">
        <v>157</v>
      </c>
      <c r="K36" s="23" t="s">
        <v>135</v>
      </c>
      <c r="L36" s="41"/>
      <c r="M36" s="179">
        <v>1175.8799999999999</v>
      </c>
      <c r="N36" s="158">
        <f>ROUNDUP(M36*0.6, 0)</f>
        <v>706</v>
      </c>
      <c r="O36" s="23" t="s">
        <v>323</v>
      </c>
    </row>
    <row r="37" spans="1:15" s="8" customFormat="1" ht="34.5" customHeight="1" x14ac:dyDescent="0.3">
      <c r="A37" s="60"/>
      <c r="B37" s="59"/>
      <c r="C37" s="20" t="s">
        <v>14</v>
      </c>
      <c r="D37" s="81" t="s">
        <v>24</v>
      </c>
      <c r="E37" s="82">
        <v>6</v>
      </c>
      <c r="F37" s="83">
        <v>1</v>
      </c>
      <c r="G37" s="38" t="s">
        <v>123</v>
      </c>
      <c r="H37" s="38" t="s">
        <v>123</v>
      </c>
      <c r="I37" s="38" t="s">
        <v>42</v>
      </c>
      <c r="J37" s="74" t="s">
        <v>163</v>
      </c>
      <c r="K37" s="38" t="s">
        <v>30</v>
      </c>
      <c r="L37" s="84"/>
      <c r="M37" s="236">
        <v>926</v>
      </c>
      <c r="N37" s="158">
        <f>ROUNDUP(M37*0.6, 0)</f>
        <v>556</v>
      </c>
      <c r="O37" s="38" t="s">
        <v>325</v>
      </c>
    </row>
    <row r="38" spans="1:15" s="85" customFormat="1" ht="34.5" customHeight="1" x14ac:dyDescent="0.3">
      <c r="A38" s="78"/>
      <c r="B38" s="79"/>
      <c r="C38" s="80" t="s">
        <v>15</v>
      </c>
      <c r="D38" s="234" t="s">
        <v>132</v>
      </c>
      <c r="E38" s="65">
        <v>6</v>
      </c>
      <c r="F38" s="66">
        <v>3</v>
      </c>
      <c r="G38" s="38" t="s">
        <v>36</v>
      </c>
      <c r="H38" s="46" t="s">
        <v>160</v>
      </c>
      <c r="I38" s="46" t="s">
        <v>133</v>
      </c>
      <c r="J38" s="71" t="s">
        <v>162</v>
      </c>
      <c r="K38" s="77" t="s">
        <v>135</v>
      </c>
      <c r="L38" s="43"/>
      <c r="M38" s="237">
        <v>1260.78</v>
      </c>
      <c r="N38" s="158">
        <f>ROUNDUP(M38*0.6, 0)</f>
        <v>757</v>
      </c>
      <c r="O38" s="25" t="s">
        <v>324</v>
      </c>
    </row>
    <row r="39" spans="1:15" s="8" customFormat="1" ht="34.5" customHeight="1" thickBot="1" x14ac:dyDescent="0.35">
      <c r="A39" s="60"/>
      <c r="B39" s="59"/>
      <c r="C39" s="21" t="s">
        <v>16</v>
      </c>
      <c r="D39" s="50" t="s">
        <v>24</v>
      </c>
      <c r="E39" s="67">
        <v>6</v>
      </c>
      <c r="F39" s="68">
        <v>1</v>
      </c>
      <c r="G39" s="27" t="s">
        <v>41</v>
      </c>
      <c r="H39" s="27" t="s">
        <v>41</v>
      </c>
      <c r="I39" s="100" t="s">
        <v>165</v>
      </c>
      <c r="J39" s="72" t="s">
        <v>164</v>
      </c>
      <c r="K39" s="27" t="s">
        <v>30</v>
      </c>
      <c r="L39" s="45"/>
      <c r="M39" s="180">
        <v>780</v>
      </c>
      <c r="N39" s="162">
        <f>ROUNDUP(M39*0.6, 0)</f>
        <v>468</v>
      </c>
      <c r="O39" s="27" t="s">
        <v>326</v>
      </c>
    </row>
    <row r="40" spans="1:15" s="8" customFormat="1" ht="18" customHeight="1" x14ac:dyDescent="0.3">
      <c r="A40" s="60"/>
      <c r="B40" s="59"/>
      <c r="C40" s="59"/>
      <c r="D40" s="59"/>
      <c r="E40" s="59"/>
      <c r="O40" s="318" t="s">
        <v>385</v>
      </c>
    </row>
    <row r="41" spans="1:15" s="8" customFormat="1" ht="18" customHeight="1" x14ac:dyDescent="0.3">
      <c r="A41" s="60"/>
      <c r="B41" s="59"/>
      <c r="C41" s="59"/>
      <c r="D41" s="59"/>
      <c r="E41" s="59"/>
    </row>
    <row r="42" spans="1:15" s="8" customFormat="1" ht="18" customHeight="1" x14ac:dyDescent="0.3">
      <c r="A42" s="60"/>
      <c r="B42" s="59"/>
      <c r="C42" s="59"/>
      <c r="D42" s="401"/>
      <c r="E42" s="395"/>
      <c r="F42" s="370"/>
      <c r="G42" s="372"/>
      <c r="H42" s="372"/>
      <c r="I42" s="372"/>
      <c r="J42" s="91"/>
      <c r="K42" s="396"/>
      <c r="L42" s="397"/>
      <c r="M42" s="373"/>
      <c r="N42" s="373"/>
      <c r="O42" s="91"/>
    </row>
    <row r="43" spans="1:15" s="8" customFormat="1" ht="18" customHeight="1" x14ac:dyDescent="0.3">
      <c r="A43" s="60"/>
      <c r="B43" s="59"/>
      <c r="C43" s="59"/>
      <c r="D43" s="402"/>
      <c r="E43" s="403"/>
      <c r="F43" s="398"/>
      <c r="G43" s="372"/>
      <c r="H43" s="372"/>
      <c r="I43" s="372"/>
      <c r="J43" s="372"/>
      <c r="K43" s="372"/>
      <c r="L43" s="399"/>
      <c r="M43" s="400"/>
      <c r="N43" s="373"/>
      <c r="O43" s="372"/>
    </row>
    <row r="44" spans="1:15" s="8" customFormat="1" ht="18" customHeight="1" x14ac:dyDescent="0.3">
      <c r="A44" s="60"/>
      <c r="B44" s="59"/>
      <c r="C44" s="59"/>
      <c r="D44" s="394"/>
      <c r="E44" s="395"/>
      <c r="F44" s="370"/>
      <c r="G44" s="91"/>
      <c r="H44" s="91"/>
      <c r="I44" s="372"/>
      <c r="J44" s="91"/>
      <c r="K44" s="91"/>
      <c r="L44" s="397"/>
      <c r="M44" s="373"/>
      <c r="N44" s="373"/>
      <c r="O44" s="91"/>
    </row>
    <row r="45" spans="1:15" s="8" customFormat="1" ht="18" customHeight="1" x14ac:dyDescent="0.3">
      <c r="A45" s="60"/>
      <c r="B45" s="59"/>
      <c r="C45" s="59"/>
      <c r="D45" s="59"/>
      <c r="E45" s="59"/>
    </row>
    <row r="46" spans="1:15" s="8" customFormat="1" ht="18" customHeight="1" x14ac:dyDescent="0.3">
      <c r="A46" s="60"/>
      <c r="B46" s="59"/>
      <c r="C46" s="59"/>
      <c r="D46" s="59"/>
      <c r="E46" s="59"/>
    </row>
    <row r="47" spans="1:15" s="8" customFormat="1" ht="18" customHeight="1" x14ac:dyDescent="0.3">
      <c r="A47" s="60"/>
      <c r="B47" s="59"/>
      <c r="C47" s="59"/>
      <c r="D47" s="59"/>
      <c r="E47" s="59"/>
    </row>
    <row r="48" spans="1:15" s="8" customFormat="1" ht="18" customHeight="1" x14ac:dyDescent="0.3">
      <c r="A48" s="885" t="s">
        <v>32</v>
      </c>
      <c r="B48" s="59"/>
      <c r="C48" s="59"/>
      <c r="D48" s="59"/>
      <c r="E48" s="59"/>
    </row>
    <row r="49" spans="1:15" s="8" customFormat="1" ht="18" customHeight="1" x14ac:dyDescent="0.3">
      <c r="A49" s="885"/>
      <c r="B49" s="59"/>
      <c r="C49" s="59"/>
      <c r="D49" s="59"/>
      <c r="E49" s="59"/>
    </row>
    <row r="50" spans="1:15" s="8" customFormat="1" ht="18" customHeight="1" x14ac:dyDescent="0.3">
      <c r="A50" s="885"/>
      <c r="B50" s="59"/>
      <c r="C50" s="59"/>
      <c r="D50" s="59"/>
      <c r="E50" s="59"/>
    </row>
    <row r="51" spans="1:15" s="8" customFormat="1" ht="18" customHeight="1" thickBot="1" x14ac:dyDescent="0.35">
      <c r="A51" s="885"/>
      <c r="B51" s="59"/>
      <c r="C51" s="59"/>
      <c r="D51" s="59"/>
      <c r="E51" s="59"/>
    </row>
    <row r="52" spans="1:15" ht="35.25" customHeight="1" x14ac:dyDescent="0.3">
      <c r="A52" s="669"/>
      <c r="B52" s="670"/>
      <c r="C52" s="670"/>
      <c r="D52" s="670"/>
      <c r="E52" s="670"/>
      <c r="F52" s="671"/>
      <c r="G52" s="671"/>
      <c r="H52" s="671"/>
      <c r="I52" s="671"/>
      <c r="J52" s="671"/>
      <c r="K52" s="671"/>
      <c r="L52" s="671"/>
      <c r="M52" s="671"/>
      <c r="N52" s="671"/>
      <c r="O52" s="671"/>
    </row>
    <row r="53" spans="1:15" ht="32.4" customHeight="1" x14ac:dyDescent="0.3">
      <c r="A53" s="883" t="s">
        <v>83</v>
      </c>
      <c r="B53" s="55"/>
      <c r="C53" s="56" t="s">
        <v>166</v>
      </c>
      <c r="D53" s="55"/>
      <c r="E53" s="55"/>
      <c r="O53" s="328" t="s">
        <v>34</v>
      </c>
    </row>
    <row r="54" spans="1:15" ht="25.8" customHeight="1" x14ac:dyDescent="0.5">
      <c r="A54" s="884"/>
      <c r="B54" s="55"/>
      <c r="C54" s="57" t="s">
        <v>370</v>
      </c>
      <c r="D54" s="55"/>
      <c r="E54" s="55"/>
    </row>
    <row r="55" spans="1:15" ht="25.8" customHeight="1" x14ac:dyDescent="0.5">
      <c r="A55" s="884"/>
      <c r="B55" s="55"/>
      <c r="C55" s="57" t="str">
        <f>"COST (EST.): "&amp;TEXT(SUM(N61:N63),"$0,000.00")</f>
        <v>COST (EST.): $5,445.00</v>
      </c>
      <c r="D55" s="55"/>
      <c r="E55" s="55"/>
    </row>
    <row r="56" spans="1:15" ht="72" customHeight="1" x14ac:dyDescent="0.3">
      <c r="A56" s="884"/>
      <c r="B56" s="55"/>
      <c r="C56" s="55"/>
      <c r="D56" s="55"/>
      <c r="E56" s="55"/>
    </row>
    <row r="57" spans="1:15" ht="72" customHeight="1" x14ac:dyDescent="0.3">
      <c r="A57" s="884"/>
      <c r="B57" s="55"/>
      <c r="C57" s="55"/>
      <c r="D57" s="55"/>
      <c r="E57" s="55"/>
    </row>
    <row r="58" spans="1:15" ht="72" customHeight="1" x14ac:dyDescent="0.3">
      <c r="A58" s="884"/>
      <c r="B58" s="55"/>
      <c r="C58" s="55"/>
      <c r="D58" s="55"/>
      <c r="E58" s="55"/>
    </row>
    <row r="59" spans="1:15" ht="72" customHeight="1" x14ac:dyDescent="0.3">
      <c r="A59" s="884"/>
      <c r="B59" s="55"/>
      <c r="C59" s="55"/>
      <c r="D59" s="55"/>
      <c r="E59" s="55"/>
    </row>
    <row r="60" spans="1:15" s="4" customFormat="1" ht="18" customHeight="1" thickBot="1" x14ac:dyDescent="0.35">
      <c r="A60" s="54"/>
      <c r="B60" s="58"/>
      <c r="C60" s="10" t="s">
        <v>1</v>
      </c>
      <c r="D60" s="5"/>
      <c r="E60" s="62" t="s">
        <v>2</v>
      </c>
      <c r="F60" s="62" t="s">
        <v>3</v>
      </c>
      <c r="G60" s="10" t="s">
        <v>4</v>
      </c>
      <c r="H60" s="10" t="s">
        <v>5</v>
      </c>
      <c r="I60" s="10" t="s">
        <v>6</v>
      </c>
      <c r="J60" s="69" t="s">
        <v>7</v>
      </c>
      <c r="K60" s="10" t="s">
        <v>8</v>
      </c>
      <c r="L60" s="10"/>
      <c r="M60" s="69" t="s">
        <v>283</v>
      </c>
      <c r="N60" s="214" t="s">
        <v>352</v>
      </c>
      <c r="O60" s="10" t="s">
        <v>10</v>
      </c>
    </row>
    <row r="61" spans="1:15" s="8" customFormat="1" ht="34.5" customHeight="1" x14ac:dyDescent="0.3">
      <c r="A61" s="60"/>
      <c r="B61" s="59"/>
      <c r="C61" s="19" t="s">
        <v>13</v>
      </c>
      <c r="D61" s="48" t="s">
        <v>140</v>
      </c>
      <c r="E61" s="63">
        <v>6</v>
      </c>
      <c r="F61" s="64">
        <v>2</v>
      </c>
      <c r="G61" s="23" t="s">
        <v>36</v>
      </c>
      <c r="H61" s="23" t="s">
        <v>36</v>
      </c>
      <c r="I61" s="46" t="s">
        <v>142</v>
      </c>
      <c r="J61" s="70" t="s">
        <v>143</v>
      </c>
      <c r="K61" s="23" t="s">
        <v>29</v>
      </c>
      <c r="L61" s="23"/>
      <c r="M61" s="158">
        <v>4739</v>
      </c>
      <c r="N61" s="158">
        <f>ROUNDUP(M61*0.6, 0)</f>
        <v>2844</v>
      </c>
      <c r="O61" s="23" t="s">
        <v>291</v>
      </c>
    </row>
    <row r="62" spans="1:15" s="8" customFormat="1" ht="34.5" customHeight="1" x14ac:dyDescent="0.3">
      <c r="A62" s="60"/>
      <c r="B62" s="59"/>
      <c r="C62" s="20" t="s">
        <v>14</v>
      </c>
      <c r="D62" s="49" t="s">
        <v>167</v>
      </c>
      <c r="E62" s="65">
        <v>6</v>
      </c>
      <c r="F62" s="66">
        <v>1</v>
      </c>
      <c r="G62" s="38" t="s">
        <v>172</v>
      </c>
      <c r="H62" s="25" t="s">
        <v>36</v>
      </c>
      <c r="I62" s="38" t="s">
        <v>173</v>
      </c>
      <c r="J62" s="74" t="s">
        <v>168</v>
      </c>
      <c r="K62" s="25" t="s">
        <v>29</v>
      </c>
      <c r="L62" s="25"/>
      <c r="M62" s="159">
        <v>3709.88</v>
      </c>
      <c r="N62" s="159">
        <f>ROUNDUP(M62*0.6, 0)</f>
        <v>2226</v>
      </c>
      <c r="O62" s="25" t="s">
        <v>327</v>
      </c>
    </row>
    <row r="63" spans="1:15" s="8" customFormat="1" ht="34.5" customHeight="1" thickBot="1" x14ac:dyDescent="0.35">
      <c r="A63" s="60"/>
      <c r="B63" s="59"/>
      <c r="C63" s="239" t="s">
        <v>15</v>
      </c>
      <c r="D63" s="240" t="s">
        <v>141</v>
      </c>
      <c r="E63" s="241">
        <v>6</v>
      </c>
      <c r="F63" s="242">
        <v>1</v>
      </c>
      <c r="G63" s="244" t="s">
        <v>169</v>
      </c>
      <c r="H63" s="244" t="s">
        <v>170</v>
      </c>
      <c r="I63" s="243" t="s">
        <v>171</v>
      </c>
      <c r="J63" s="245" t="s">
        <v>144</v>
      </c>
      <c r="K63" s="244" t="s">
        <v>30</v>
      </c>
      <c r="L63" s="244"/>
      <c r="M63" s="162">
        <v>624</v>
      </c>
      <c r="N63" s="162">
        <f>ROUNDUP(M63*0.6, 0)</f>
        <v>375</v>
      </c>
      <c r="O63" s="244" t="s">
        <v>300</v>
      </c>
    </row>
    <row r="64" spans="1:15" s="8" customFormat="1" ht="18" customHeight="1" x14ac:dyDescent="0.3">
      <c r="A64" s="60"/>
      <c r="B64" s="59"/>
      <c r="C64" s="59"/>
      <c r="D64" s="59"/>
      <c r="E64" s="59"/>
      <c r="O64" s="318" t="s">
        <v>385</v>
      </c>
    </row>
    <row r="65" spans="1:15" s="8" customFormat="1" ht="18" customHeight="1" x14ac:dyDescent="0.3">
      <c r="A65" s="60"/>
      <c r="B65" s="59"/>
      <c r="C65" s="59"/>
      <c r="D65" s="59"/>
      <c r="E65" s="59"/>
    </row>
    <row r="66" spans="1:15" s="8" customFormat="1" ht="18" customHeight="1" x14ac:dyDescent="0.3">
      <c r="A66" s="60"/>
      <c r="B66" s="59"/>
      <c r="C66" s="59"/>
      <c r="D66" s="394"/>
      <c r="E66" s="395"/>
      <c r="F66" s="370"/>
      <c r="G66" s="91"/>
      <c r="H66" s="91"/>
      <c r="I66" s="372"/>
      <c r="J66" s="91"/>
      <c r="K66" s="91"/>
      <c r="L66" s="91"/>
      <c r="M66" s="373"/>
      <c r="N66" s="373"/>
      <c r="O66" s="91"/>
    </row>
    <row r="67" spans="1:15" s="8" customFormat="1" ht="18" customHeight="1" x14ac:dyDescent="0.3">
      <c r="A67" s="60"/>
      <c r="B67" s="59"/>
      <c r="C67" s="59"/>
      <c r="D67" s="394"/>
      <c r="E67" s="395"/>
      <c r="F67" s="370"/>
      <c r="G67" s="372"/>
      <c r="H67" s="91"/>
      <c r="I67" s="372"/>
      <c r="J67" s="372"/>
      <c r="K67" s="91"/>
      <c r="L67" s="91"/>
      <c r="M67" s="373"/>
      <c r="N67" s="373"/>
      <c r="O67" s="91"/>
    </row>
    <row r="68" spans="1:15" s="8" customFormat="1" ht="18" customHeight="1" x14ac:dyDescent="0.3">
      <c r="A68" s="60"/>
      <c r="B68" s="59"/>
      <c r="C68" s="59"/>
      <c r="D68" s="59"/>
      <c r="E68" s="59"/>
    </row>
    <row r="69" spans="1:15" s="8" customFormat="1" ht="18" customHeight="1" x14ac:dyDescent="0.3">
      <c r="A69" s="60"/>
      <c r="B69" s="59"/>
      <c r="C69" s="59"/>
      <c r="D69" s="59"/>
      <c r="E69" s="59"/>
    </row>
    <row r="70" spans="1:15" s="8" customFormat="1" ht="18" customHeight="1" x14ac:dyDescent="0.3">
      <c r="A70" s="60"/>
      <c r="B70" s="59"/>
      <c r="C70" s="59"/>
      <c r="D70" s="59"/>
      <c r="E70" s="59"/>
    </row>
    <row r="71" spans="1:15" s="8" customFormat="1" ht="18" customHeight="1" x14ac:dyDescent="0.3">
      <c r="A71" s="60"/>
      <c r="B71" s="59"/>
      <c r="C71" s="59"/>
      <c r="D71" s="59"/>
      <c r="E71" s="59"/>
    </row>
    <row r="72" spans="1:15" s="8" customFormat="1" ht="18" customHeight="1" x14ac:dyDescent="0.3">
      <c r="A72" s="60"/>
      <c r="B72" s="59"/>
      <c r="C72" s="59"/>
      <c r="D72" s="59"/>
      <c r="E72" s="59"/>
    </row>
    <row r="73" spans="1:15" s="8" customFormat="1" ht="18" customHeight="1" x14ac:dyDescent="0.3">
      <c r="A73" s="60"/>
      <c r="B73" s="59"/>
      <c r="C73" s="59"/>
      <c r="D73" s="59"/>
      <c r="E73" s="59"/>
    </row>
    <row r="74" spans="1:15" s="8" customFormat="1" ht="18" customHeight="1" x14ac:dyDescent="0.3">
      <c r="A74" s="885" t="s">
        <v>35</v>
      </c>
      <c r="B74" s="59"/>
      <c r="C74" s="59"/>
      <c r="D74" s="59"/>
      <c r="E74" s="59"/>
    </row>
    <row r="75" spans="1:15" s="8" customFormat="1" ht="18" customHeight="1" x14ac:dyDescent="0.3">
      <c r="A75" s="885"/>
      <c r="B75" s="59"/>
      <c r="C75" s="59"/>
      <c r="D75" s="59"/>
      <c r="E75" s="59"/>
    </row>
    <row r="76" spans="1:15" s="8" customFormat="1" ht="18" customHeight="1" x14ac:dyDescent="0.3">
      <c r="A76" s="885"/>
      <c r="B76" s="59"/>
      <c r="C76" s="59"/>
      <c r="D76" s="59"/>
      <c r="E76" s="59"/>
    </row>
    <row r="77" spans="1:15" s="8" customFormat="1" ht="18" customHeight="1" thickBot="1" x14ac:dyDescent="0.35">
      <c r="A77" s="885"/>
      <c r="B77" s="59"/>
      <c r="C77" s="59"/>
      <c r="D77" s="59"/>
      <c r="E77" s="59"/>
    </row>
    <row r="78" spans="1:15" ht="35.25" customHeight="1" x14ac:dyDescent="0.3">
      <c r="A78" s="669"/>
      <c r="B78" s="670"/>
      <c r="C78" s="670"/>
      <c r="D78" s="670"/>
      <c r="E78" s="670"/>
      <c r="F78" s="671"/>
      <c r="G78" s="671"/>
      <c r="H78" s="671"/>
      <c r="I78" s="671"/>
      <c r="J78" s="671"/>
      <c r="K78" s="671"/>
      <c r="L78" s="671"/>
      <c r="M78" s="671"/>
      <c r="N78" s="671"/>
      <c r="O78" s="671"/>
    </row>
    <row r="79" spans="1:15" ht="32.4" customHeight="1" x14ac:dyDescent="0.3">
      <c r="A79" s="883" t="s">
        <v>83</v>
      </c>
      <c r="B79" s="55"/>
      <c r="C79" s="56" t="s">
        <v>175</v>
      </c>
      <c r="D79" s="55"/>
      <c r="E79" s="55"/>
      <c r="O79" s="328" t="s">
        <v>34</v>
      </c>
    </row>
    <row r="80" spans="1:15" ht="25.8" customHeight="1" x14ac:dyDescent="0.5">
      <c r="A80" s="884"/>
      <c r="B80" s="55"/>
      <c r="C80" s="57" t="s">
        <v>174</v>
      </c>
      <c r="D80" s="55"/>
      <c r="E80" s="55"/>
    </row>
    <row r="81" spans="1:15" ht="25.8" customHeight="1" x14ac:dyDescent="0.5">
      <c r="A81" s="884"/>
      <c r="B81" s="55"/>
      <c r="C81" s="57" t="str">
        <f>"COST (EST.): "&amp;TEXT(SUM(N87:N88),"$0,000.00")</f>
        <v>COST (EST.): $6,274.00</v>
      </c>
      <c r="D81" s="55"/>
      <c r="E81" s="55"/>
    </row>
    <row r="82" spans="1:15" ht="72" customHeight="1" x14ac:dyDescent="0.3">
      <c r="A82" s="884"/>
      <c r="B82" s="55"/>
      <c r="C82" s="55"/>
      <c r="D82" s="55"/>
      <c r="E82" s="55"/>
    </row>
    <row r="83" spans="1:15" ht="72" customHeight="1" x14ac:dyDescent="0.3">
      <c r="A83" s="884"/>
      <c r="B83" s="55"/>
      <c r="C83" s="55"/>
      <c r="D83" s="55"/>
      <c r="E83" s="55"/>
    </row>
    <row r="84" spans="1:15" ht="72" customHeight="1" x14ac:dyDescent="0.3">
      <c r="A84" s="884"/>
      <c r="B84" s="55"/>
      <c r="C84" s="55"/>
      <c r="D84" s="55"/>
      <c r="E84" s="55"/>
    </row>
    <row r="85" spans="1:15" ht="72" customHeight="1" x14ac:dyDescent="0.3">
      <c r="A85" s="884"/>
      <c r="B85" s="55"/>
      <c r="C85" s="55"/>
      <c r="D85" s="55"/>
      <c r="E85" s="55"/>
    </row>
    <row r="86" spans="1:15" s="4" customFormat="1" ht="18" customHeight="1" thickBot="1" x14ac:dyDescent="0.35">
      <c r="A86" s="54"/>
      <c r="B86" s="58"/>
      <c r="C86" s="10" t="s">
        <v>1</v>
      </c>
      <c r="D86" s="5"/>
      <c r="E86" s="62" t="s">
        <v>2</v>
      </c>
      <c r="F86" s="62" t="s">
        <v>3</v>
      </c>
      <c r="G86" s="10" t="s">
        <v>4</v>
      </c>
      <c r="H86" s="10" t="s">
        <v>5</v>
      </c>
      <c r="I86" s="10" t="s">
        <v>6</v>
      </c>
      <c r="J86" s="69" t="s">
        <v>7</v>
      </c>
      <c r="K86" s="10" t="s">
        <v>8</v>
      </c>
      <c r="L86" s="10"/>
      <c r="M86" s="69" t="s">
        <v>283</v>
      </c>
      <c r="N86" s="214" t="s">
        <v>352</v>
      </c>
      <c r="O86" s="10" t="s">
        <v>10</v>
      </c>
    </row>
    <row r="87" spans="1:15" s="8" customFormat="1" ht="34.5" customHeight="1" x14ac:dyDescent="0.3">
      <c r="A87" s="60"/>
      <c r="B87" s="59"/>
      <c r="C87" s="19" t="s">
        <v>13</v>
      </c>
      <c r="D87" s="48" t="s">
        <v>23</v>
      </c>
      <c r="E87" s="63">
        <v>6</v>
      </c>
      <c r="F87" s="64">
        <v>4</v>
      </c>
      <c r="G87" s="46" t="s">
        <v>120</v>
      </c>
      <c r="H87" s="23" t="s">
        <v>37</v>
      </c>
      <c r="I87" s="46" t="s">
        <v>121</v>
      </c>
      <c r="J87" s="70" t="s">
        <v>26</v>
      </c>
      <c r="K87" s="23" t="s">
        <v>29</v>
      </c>
      <c r="L87" s="23"/>
      <c r="M87" s="158">
        <v>7104</v>
      </c>
      <c r="N87" s="158">
        <f>ROUNDUP(M87*0.6, 0)</f>
        <v>4263</v>
      </c>
      <c r="O87" s="23" t="s">
        <v>272</v>
      </c>
    </row>
    <row r="88" spans="1:15" s="8" customFormat="1" ht="34.5" customHeight="1" thickBot="1" x14ac:dyDescent="0.35">
      <c r="A88" s="60"/>
      <c r="B88" s="59"/>
      <c r="C88" s="21" t="s">
        <v>14</v>
      </c>
      <c r="D88" s="50" t="s">
        <v>23</v>
      </c>
      <c r="E88" s="67">
        <v>6</v>
      </c>
      <c r="F88" s="68">
        <v>4</v>
      </c>
      <c r="G88" s="100" t="s">
        <v>120</v>
      </c>
      <c r="H88" s="27" t="s">
        <v>37</v>
      </c>
      <c r="I88" s="100" t="s">
        <v>121</v>
      </c>
      <c r="J88" s="93" t="s">
        <v>185</v>
      </c>
      <c r="K88" s="27" t="s">
        <v>29</v>
      </c>
      <c r="L88" s="27"/>
      <c r="M88" s="161">
        <v>3351.6</v>
      </c>
      <c r="N88" s="162">
        <f>ROUNDUP(M88*0.6, 0)</f>
        <v>2011</v>
      </c>
      <c r="O88" s="27" t="s">
        <v>314</v>
      </c>
    </row>
    <row r="89" spans="1:15" s="8" customFormat="1" ht="18" customHeight="1" x14ac:dyDescent="0.3">
      <c r="A89" s="60"/>
      <c r="B89" s="59"/>
      <c r="C89" s="59"/>
      <c r="D89" s="59"/>
      <c r="E89" s="59"/>
      <c r="O89" s="318" t="s">
        <v>385</v>
      </c>
    </row>
    <row r="90" spans="1:15" s="8" customFormat="1" ht="18" customHeight="1" x14ac:dyDescent="0.3">
      <c r="A90" s="60"/>
      <c r="B90" s="59"/>
      <c r="C90" s="59"/>
      <c r="D90" s="59"/>
      <c r="E90" s="59"/>
    </row>
    <row r="91" spans="1:15" s="8" customFormat="1" ht="18" customHeight="1" x14ac:dyDescent="0.3">
      <c r="A91" s="60"/>
      <c r="B91" s="59"/>
      <c r="C91" s="59"/>
      <c r="D91" s="59"/>
      <c r="E91" s="59"/>
    </row>
    <row r="92" spans="1:15" s="8" customFormat="1" ht="18" customHeight="1" x14ac:dyDescent="0.3">
      <c r="A92" s="60"/>
      <c r="B92" s="59"/>
      <c r="C92" s="59"/>
      <c r="D92" s="59"/>
      <c r="E92" s="59"/>
    </row>
    <row r="93" spans="1:15" s="8" customFormat="1" ht="18" customHeight="1" x14ac:dyDescent="0.3">
      <c r="A93" s="60"/>
      <c r="B93" s="59"/>
      <c r="C93" s="59"/>
      <c r="D93" s="59"/>
      <c r="E93" s="59"/>
    </row>
    <row r="94" spans="1:15" s="8" customFormat="1" ht="18" customHeight="1" x14ac:dyDescent="0.3">
      <c r="A94" s="60"/>
      <c r="B94" s="59"/>
      <c r="C94" s="59"/>
      <c r="D94" s="59"/>
      <c r="E94" s="59"/>
    </row>
    <row r="95" spans="1:15" s="8" customFormat="1" ht="18" customHeight="1" x14ac:dyDescent="0.3">
      <c r="A95" s="60"/>
      <c r="B95" s="59"/>
      <c r="C95" s="59"/>
      <c r="D95" s="59"/>
      <c r="E95" s="59"/>
    </row>
    <row r="96" spans="1:15" s="8" customFormat="1" ht="18" customHeight="1" x14ac:dyDescent="0.3">
      <c r="A96" s="60"/>
      <c r="B96" s="59"/>
      <c r="C96" s="59"/>
      <c r="D96" s="59"/>
      <c r="E96" s="59"/>
    </row>
    <row r="97" spans="1:15" s="8" customFormat="1" ht="18" customHeight="1" x14ac:dyDescent="0.3">
      <c r="A97" s="60"/>
      <c r="B97" s="59"/>
      <c r="C97" s="59"/>
      <c r="D97" s="59"/>
      <c r="E97" s="59"/>
    </row>
    <row r="98" spans="1:15" s="8" customFormat="1" ht="18" customHeight="1" x14ac:dyDescent="0.3">
      <c r="A98" s="60"/>
      <c r="B98" s="59"/>
      <c r="C98" s="59"/>
      <c r="D98" s="59"/>
      <c r="E98" s="59"/>
    </row>
    <row r="99" spans="1:15" s="8" customFormat="1" ht="18" customHeight="1" x14ac:dyDescent="0.3">
      <c r="A99" s="60"/>
      <c r="B99" s="59"/>
      <c r="C99" s="59"/>
      <c r="D99" s="59"/>
      <c r="E99" s="59"/>
    </row>
    <row r="100" spans="1:15" s="8" customFormat="1" ht="18" customHeight="1" x14ac:dyDescent="0.3">
      <c r="A100" s="60"/>
      <c r="B100" s="59"/>
      <c r="C100" s="59"/>
      <c r="D100" s="59"/>
      <c r="E100" s="59"/>
    </row>
    <row r="101" spans="1:15" s="8" customFormat="1" ht="18" customHeight="1" x14ac:dyDescent="0.3">
      <c r="A101" s="885" t="s">
        <v>180</v>
      </c>
      <c r="B101" s="59"/>
      <c r="C101" s="59"/>
      <c r="D101" s="59"/>
      <c r="E101" s="59"/>
    </row>
    <row r="102" spans="1:15" s="8" customFormat="1" ht="18" customHeight="1" x14ac:dyDescent="0.3">
      <c r="A102" s="885"/>
      <c r="B102" s="59"/>
      <c r="C102" s="59"/>
      <c r="D102" s="59"/>
      <c r="E102" s="59"/>
    </row>
    <row r="103" spans="1:15" s="8" customFormat="1" ht="18" customHeight="1" x14ac:dyDescent="0.3">
      <c r="A103" s="885"/>
      <c r="B103" s="59"/>
      <c r="C103" s="59"/>
      <c r="D103" s="59"/>
      <c r="E103" s="59"/>
    </row>
    <row r="104" spans="1:15" s="8" customFormat="1" ht="18" customHeight="1" thickBot="1" x14ac:dyDescent="0.35">
      <c r="A104" s="885"/>
      <c r="B104" s="59"/>
      <c r="C104" s="59"/>
      <c r="D104" s="59"/>
      <c r="E104" s="59"/>
    </row>
    <row r="105" spans="1:15" ht="35.25" customHeight="1" x14ac:dyDescent="0.3">
      <c r="A105" s="669"/>
      <c r="B105" s="670"/>
      <c r="C105" s="670"/>
      <c r="D105" s="670"/>
      <c r="E105" s="670"/>
      <c r="F105" s="671"/>
      <c r="G105" s="671"/>
      <c r="H105" s="671"/>
      <c r="I105" s="671"/>
      <c r="J105" s="671"/>
      <c r="K105" s="671"/>
      <c r="L105" s="671"/>
      <c r="M105" s="671"/>
      <c r="N105" s="671"/>
      <c r="O105" s="671"/>
    </row>
    <row r="106" spans="1:15" ht="32.4" customHeight="1" x14ac:dyDescent="0.3">
      <c r="A106" s="883" t="s">
        <v>83</v>
      </c>
      <c r="B106" s="55"/>
      <c r="C106" s="56" t="s">
        <v>177</v>
      </c>
      <c r="D106" s="55"/>
      <c r="E106" s="55"/>
      <c r="O106" s="328" t="s">
        <v>34</v>
      </c>
    </row>
    <row r="107" spans="1:15" ht="25.8" customHeight="1" x14ac:dyDescent="0.5">
      <c r="A107" s="884"/>
      <c r="B107" s="55"/>
      <c r="C107" s="57" t="s">
        <v>174</v>
      </c>
      <c r="D107" s="55"/>
      <c r="E107" s="55"/>
    </row>
    <row r="108" spans="1:15" ht="25.8" customHeight="1" x14ac:dyDescent="0.5">
      <c r="A108" s="884"/>
      <c r="B108" s="55"/>
      <c r="C108" s="57" t="str">
        <f>"COST (EST.): "&amp;TEXT(SUM(N114:N115),"$0,000.00")</f>
        <v>COST (EST.): $5,002.00</v>
      </c>
      <c r="D108" s="55"/>
      <c r="E108" s="55"/>
    </row>
    <row r="109" spans="1:15" ht="72" customHeight="1" x14ac:dyDescent="0.3">
      <c r="A109" s="884"/>
      <c r="B109" s="55"/>
      <c r="C109" s="55"/>
      <c r="D109" s="55"/>
      <c r="E109" s="55"/>
    </row>
    <row r="110" spans="1:15" ht="72" customHeight="1" x14ac:dyDescent="0.3">
      <c r="A110" s="884"/>
      <c r="B110" s="55"/>
      <c r="C110" s="55"/>
      <c r="D110" s="55"/>
      <c r="E110" s="55"/>
    </row>
    <row r="111" spans="1:15" ht="72" customHeight="1" x14ac:dyDescent="0.3">
      <c r="A111" s="884"/>
      <c r="B111" s="55"/>
      <c r="C111" s="55"/>
      <c r="D111" s="55"/>
      <c r="E111" s="55"/>
    </row>
    <row r="112" spans="1:15" ht="72" customHeight="1" x14ac:dyDescent="0.3">
      <c r="A112" s="884"/>
      <c r="B112" s="55"/>
      <c r="C112" s="55"/>
      <c r="D112" s="55"/>
      <c r="E112" s="55"/>
    </row>
    <row r="113" spans="1:15" s="4" customFormat="1" ht="18" customHeight="1" thickBot="1" x14ac:dyDescent="0.35">
      <c r="A113" s="54"/>
      <c r="B113" s="58"/>
      <c r="C113" s="10" t="s">
        <v>1</v>
      </c>
      <c r="D113" s="5"/>
      <c r="E113" s="62" t="s">
        <v>2</v>
      </c>
      <c r="F113" s="62" t="s">
        <v>3</v>
      </c>
      <c r="G113" s="10" t="s">
        <v>4</v>
      </c>
      <c r="H113" s="10" t="s">
        <v>5</v>
      </c>
      <c r="I113" s="10" t="s">
        <v>6</v>
      </c>
      <c r="J113" s="69" t="s">
        <v>7</v>
      </c>
      <c r="K113" s="10" t="s">
        <v>8</v>
      </c>
      <c r="L113" s="10"/>
      <c r="M113" s="69" t="s">
        <v>283</v>
      </c>
      <c r="N113" s="214" t="s">
        <v>352</v>
      </c>
      <c r="O113" s="10" t="s">
        <v>10</v>
      </c>
    </row>
    <row r="114" spans="1:15" s="8" customFormat="1" ht="34.5" customHeight="1" x14ac:dyDescent="0.3">
      <c r="A114" s="60"/>
      <c r="B114" s="59"/>
      <c r="C114" s="19" t="s">
        <v>13</v>
      </c>
      <c r="D114" s="234" t="s">
        <v>117</v>
      </c>
      <c r="E114" s="65">
        <v>6</v>
      </c>
      <c r="F114" s="66">
        <v>1</v>
      </c>
      <c r="G114" s="38" t="s">
        <v>120</v>
      </c>
      <c r="H114" s="25" t="s">
        <v>37</v>
      </c>
      <c r="I114" s="38" t="s">
        <v>121</v>
      </c>
      <c r="J114" s="74" t="s">
        <v>26</v>
      </c>
      <c r="K114" s="25" t="s">
        <v>29</v>
      </c>
      <c r="L114" s="25"/>
      <c r="M114" s="159">
        <v>3006.9</v>
      </c>
      <c r="N114" s="159">
        <f>ROUNDUP(M114*0.6, 0)</f>
        <v>1805</v>
      </c>
      <c r="O114" s="25" t="s">
        <v>328</v>
      </c>
    </row>
    <row r="115" spans="1:15" s="8" customFormat="1" ht="34.5" customHeight="1" thickBot="1" x14ac:dyDescent="0.35">
      <c r="A115" s="60"/>
      <c r="B115" s="59"/>
      <c r="C115" s="21" t="s">
        <v>14</v>
      </c>
      <c r="D115" s="240" t="s">
        <v>23</v>
      </c>
      <c r="E115" s="241">
        <v>6</v>
      </c>
      <c r="F115" s="242">
        <v>3</v>
      </c>
      <c r="G115" s="243" t="s">
        <v>120</v>
      </c>
      <c r="H115" s="244" t="s">
        <v>37</v>
      </c>
      <c r="I115" s="243" t="s">
        <v>121</v>
      </c>
      <c r="J115" s="245" t="s">
        <v>26</v>
      </c>
      <c r="K115" s="244" t="s">
        <v>29</v>
      </c>
      <c r="L115" s="244"/>
      <c r="M115" s="162">
        <v>5328</v>
      </c>
      <c r="N115" s="162">
        <f>ROUNDUP(M115*0.6, 0)</f>
        <v>3197</v>
      </c>
      <c r="O115" s="244" t="s">
        <v>272</v>
      </c>
    </row>
    <row r="116" spans="1:15" s="8" customFormat="1" ht="18" customHeight="1" x14ac:dyDescent="0.3">
      <c r="A116" s="60"/>
      <c r="B116" s="59"/>
      <c r="C116" s="59"/>
      <c r="D116" s="59"/>
      <c r="E116" s="59"/>
      <c r="O116" s="318" t="s">
        <v>385</v>
      </c>
    </row>
    <row r="117" spans="1:15" s="8" customFormat="1" ht="18" customHeight="1" x14ac:dyDescent="0.3">
      <c r="A117" s="60"/>
      <c r="B117" s="59"/>
      <c r="C117" s="59"/>
      <c r="D117" s="59"/>
      <c r="E117" s="59"/>
    </row>
    <row r="118" spans="1:15" s="8" customFormat="1" ht="18" customHeight="1" x14ac:dyDescent="0.3">
      <c r="A118" s="60"/>
      <c r="B118" s="59"/>
      <c r="C118" s="59"/>
      <c r="D118" s="394"/>
      <c r="E118" s="395"/>
      <c r="F118" s="370"/>
      <c r="G118" s="372"/>
      <c r="H118" s="91"/>
      <c r="I118" s="372"/>
      <c r="J118" s="91"/>
      <c r="K118" s="91"/>
      <c r="L118" s="91"/>
      <c r="M118" s="373"/>
      <c r="N118" s="373"/>
      <c r="O118" s="91"/>
    </row>
    <row r="119" spans="1:15" s="8" customFormat="1" ht="18" customHeight="1" x14ac:dyDescent="0.3">
      <c r="A119" s="60"/>
      <c r="B119" s="59"/>
      <c r="C119" s="59"/>
      <c r="D119" s="401"/>
      <c r="E119" s="395"/>
      <c r="F119" s="370"/>
      <c r="G119" s="372"/>
      <c r="H119" s="91"/>
      <c r="I119" s="372"/>
      <c r="J119" s="372"/>
      <c r="K119" s="91"/>
      <c r="L119" s="91"/>
      <c r="M119" s="373"/>
      <c r="N119" s="373"/>
      <c r="O119" s="91"/>
    </row>
    <row r="120" spans="1:15" s="8" customFormat="1" ht="18" customHeight="1" x14ac:dyDescent="0.3">
      <c r="A120" s="60"/>
      <c r="B120" s="59"/>
      <c r="C120" s="59"/>
      <c r="D120" s="59"/>
      <c r="E120" s="59"/>
    </row>
    <row r="121" spans="1:15" s="8" customFormat="1" ht="18" customHeight="1" x14ac:dyDescent="0.3">
      <c r="A121" s="60"/>
      <c r="B121" s="59"/>
      <c r="C121" s="59"/>
      <c r="D121" s="59"/>
      <c r="E121" s="59"/>
    </row>
    <row r="122" spans="1:15" s="8" customFormat="1" ht="18" customHeight="1" x14ac:dyDescent="0.3">
      <c r="A122" s="60"/>
      <c r="B122" s="59"/>
      <c r="C122" s="59"/>
      <c r="D122" s="59"/>
      <c r="E122" s="59"/>
    </row>
    <row r="123" spans="1:15" s="8" customFormat="1" ht="18" customHeight="1" x14ac:dyDescent="0.3">
      <c r="A123" s="60"/>
      <c r="B123" s="59"/>
      <c r="C123" s="59"/>
      <c r="D123" s="59"/>
      <c r="E123" s="59"/>
    </row>
    <row r="124" spans="1:15" s="8" customFormat="1" ht="18" customHeight="1" x14ac:dyDescent="0.3">
      <c r="A124" s="60"/>
      <c r="B124" s="59"/>
      <c r="C124" s="59"/>
      <c r="D124" s="59"/>
      <c r="E124" s="59"/>
    </row>
    <row r="125" spans="1:15" s="8" customFormat="1" ht="18" customHeight="1" x14ac:dyDescent="0.3">
      <c r="A125" s="60"/>
      <c r="B125" s="59"/>
      <c r="C125" s="59"/>
      <c r="D125" s="59"/>
      <c r="E125" s="59"/>
    </row>
    <row r="126" spans="1:15" s="8" customFormat="1" ht="18" customHeight="1" x14ac:dyDescent="0.3">
      <c r="A126" s="60"/>
      <c r="B126" s="59"/>
      <c r="C126" s="59"/>
      <c r="D126" s="59"/>
      <c r="E126" s="59"/>
    </row>
    <row r="127" spans="1:15" s="8" customFormat="1" ht="18" customHeight="1" x14ac:dyDescent="0.3">
      <c r="A127" s="60"/>
      <c r="B127" s="59"/>
      <c r="C127" s="59"/>
      <c r="D127" s="59"/>
      <c r="E127" s="59"/>
    </row>
    <row r="128" spans="1:15" s="8" customFormat="1" ht="18" customHeight="1" x14ac:dyDescent="0.3">
      <c r="A128" s="885" t="s">
        <v>181</v>
      </c>
      <c r="B128" s="59"/>
      <c r="C128" s="59"/>
      <c r="D128" s="59"/>
      <c r="E128" s="59"/>
    </row>
    <row r="129" spans="1:15" s="8" customFormat="1" ht="18" customHeight="1" x14ac:dyDescent="0.3">
      <c r="A129" s="885"/>
      <c r="B129" s="59"/>
      <c r="C129" s="59"/>
      <c r="D129" s="59"/>
      <c r="E129" s="59"/>
    </row>
    <row r="130" spans="1:15" s="8" customFormat="1" ht="18" customHeight="1" x14ac:dyDescent="0.3">
      <c r="A130" s="885"/>
      <c r="B130" s="59"/>
      <c r="C130" s="59"/>
      <c r="D130" s="59"/>
      <c r="E130" s="59"/>
    </row>
    <row r="131" spans="1:15" s="8" customFormat="1" ht="18" customHeight="1" thickBot="1" x14ac:dyDescent="0.35">
      <c r="A131" s="885"/>
      <c r="B131" s="59"/>
      <c r="C131" s="59"/>
      <c r="D131" s="59"/>
      <c r="E131" s="59"/>
    </row>
    <row r="132" spans="1:15" ht="35.25" customHeight="1" x14ac:dyDescent="0.3">
      <c r="A132" s="669"/>
      <c r="B132" s="670"/>
      <c r="C132" s="670"/>
      <c r="D132" s="670"/>
      <c r="E132" s="670"/>
      <c r="F132" s="671"/>
      <c r="G132" s="671"/>
      <c r="H132" s="671"/>
      <c r="I132" s="671"/>
      <c r="J132" s="671"/>
      <c r="K132" s="671"/>
      <c r="L132" s="671"/>
      <c r="M132" s="671"/>
      <c r="N132" s="671"/>
      <c r="O132" s="671"/>
    </row>
    <row r="133" spans="1:15" ht="32.4" customHeight="1" x14ac:dyDescent="0.3">
      <c r="A133" s="883" t="s">
        <v>83</v>
      </c>
      <c r="B133" s="55"/>
      <c r="C133" s="56" t="s">
        <v>182</v>
      </c>
      <c r="D133" s="55"/>
      <c r="E133" s="55"/>
      <c r="O133" s="328" t="s">
        <v>34</v>
      </c>
    </row>
    <row r="134" spans="1:15" ht="25.8" customHeight="1" x14ac:dyDescent="0.5">
      <c r="A134" s="884"/>
      <c r="B134" s="55"/>
      <c r="C134" s="57" t="s">
        <v>174</v>
      </c>
      <c r="D134" s="55"/>
      <c r="E134" s="55"/>
    </row>
    <row r="135" spans="1:15" ht="25.8" customHeight="1" x14ac:dyDescent="0.5">
      <c r="A135" s="884"/>
      <c r="B135" s="55"/>
      <c r="C135" s="57" t="str">
        <f>"COST (EST.): "&amp;TEXT(SUM(N141:N144),"$0,000.00")</f>
        <v>COST (EST.): $4,284.00</v>
      </c>
      <c r="D135" s="55"/>
      <c r="E135" s="55"/>
    </row>
    <row r="136" spans="1:15" ht="72" customHeight="1" x14ac:dyDescent="0.3">
      <c r="A136" s="884"/>
      <c r="B136" s="55"/>
      <c r="C136" s="55"/>
      <c r="D136" s="55"/>
      <c r="E136" s="55"/>
    </row>
    <row r="137" spans="1:15" ht="72" customHeight="1" x14ac:dyDescent="0.3">
      <c r="A137" s="884"/>
      <c r="B137" s="55"/>
      <c r="C137" s="55"/>
      <c r="D137" s="55"/>
      <c r="E137" s="55"/>
    </row>
    <row r="138" spans="1:15" ht="72" customHeight="1" x14ac:dyDescent="0.3">
      <c r="A138" s="884"/>
      <c r="B138" s="55"/>
      <c r="C138" s="55"/>
      <c r="D138" s="55"/>
      <c r="E138" s="55"/>
    </row>
    <row r="139" spans="1:15" ht="72" customHeight="1" x14ac:dyDescent="0.3">
      <c r="A139" s="884"/>
      <c r="B139" s="55"/>
      <c r="C139" s="55"/>
      <c r="D139" s="55"/>
      <c r="E139" s="55"/>
    </row>
    <row r="140" spans="1:15" s="4" customFormat="1" ht="18" customHeight="1" thickBot="1" x14ac:dyDescent="0.35">
      <c r="A140" s="54"/>
      <c r="B140" s="58"/>
      <c r="C140" s="10" t="s">
        <v>1</v>
      </c>
      <c r="D140" s="5"/>
      <c r="E140" s="62" t="s">
        <v>2</v>
      </c>
      <c r="F140" s="62" t="s">
        <v>3</v>
      </c>
      <c r="G140" s="10" t="s">
        <v>4</v>
      </c>
      <c r="H140" s="10" t="s">
        <v>5</v>
      </c>
      <c r="I140" s="10" t="s">
        <v>6</v>
      </c>
      <c r="J140" s="69" t="s">
        <v>7</v>
      </c>
      <c r="K140" s="10" t="s">
        <v>8</v>
      </c>
      <c r="L140" s="10"/>
      <c r="M140" s="69" t="s">
        <v>283</v>
      </c>
      <c r="N140" s="214" t="s">
        <v>352</v>
      </c>
      <c r="O140" s="10" t="s">
        <v>10</v>
      </c>
    </row>
    <row r="141" spans="1:15" s="8" customFormat="1" ht="34.5" customHeight="1" x14ac:dyDescent="0.3">
      <c r="A141" s="60"/>
      <c r="B141" s="59"/>
      <c r="C141" s="19" t="s">
        <v>13</v>
      </c>
      <c r="D141" s="88" t="s">
        <v>23</v>
      </c>
      <c r="E141" s="89">
        <v>6</v>
      </c>
      <c r="F141" s="90">
        <v>1</v>
      </c>
      <c r="G141" s="46" t="s">
        <v>120</v>
      </c>
      <c r="H141" s="23" t="s">
        <v>37</v>
      </c>
      <c r="I141" s="46" t="s">
        <v>121</v>
      </c>
      <c r="J141" s="92" t="s">
        <v>184</v>
      </c>
      <c r="K141" s="91" t="s">
        <v>29</v>
      </c>
      <c r="L141" s="91"/>
      <c r="M141" s="238">
        <v>1516.45</v>
      </c>
      <c r="N141" s="158">
        <f>ROUNDUP(M141*0.6, 0)</f>
        <v>910</v>
      </c>
      <c r="O141" s="91" t="s">
        <v>329</v>
      </c>
    </row>
    <row r="142" spans="1:15" s="8" customFormat="1" ht="34.5" customHeight="1" x14ac:dyDescent="0.3">
      <c r="A142" s="60"/>
      <c r="B142" s="59"/>
      <c r="C142" s="20" t="s">
        <v>14</v>
      </c>
      <c r="D142" s="81" t="s">
        <v>117</v>
      </c>
      <c r="E142" s="65">
        <v>6</v>
      </c>
      <c r="F142" s="66">
        <v>1</v>
      </c>
      <c r="G142" s="46" t="s">
        <v>120</v>
      </c>
      <c r="H142" s="23" t="s">
        <v>37</v>
      </c>
      <c r="I142" s="46" t="s">
        <v>121</v>
      </c>
      <c r="J142" s="71" t="s">
        <v>26</v>
      </c>
      <c r="K142" s="25" t="s">
        <v>29</v>
      </c>
      <c r="L142" s="25"/>
      <c r="M142" s="159">
        <v>3006.9</v>
      </c>
      <c r="N142" s="158">
        <f>ROUNDUP(M142*0.6, 0)</f>
        <v>1805</v>
      </c>
      <c r="O142" s="25" t="s">
        <v>328</v>
      </c>
    </row>
    <row r="143" spans="1:15" s="8" customFormat="1" ht="34.5" customHeight="1" x14ac:dyDescent="0.3">
      <c r="A143" s="60"/>
      <c r="B143" s="59"/>
      <c r="C143" s="87" t="s">
        <v>15</v>
      </c>
      <c r="D143" s="48" t="s">
        <v>23</v>
      </c>
      <c r="E143" s="63">
        <v>6</v>
      </c>
      <c r="F143" s="64">
        <v>1</v>
      </c>
      <c r="G143" s="46" t="s">
        <v>120</v>
      </c>
      <c r="H143" s="23" t="s">
        <v>37</v>
      </c>
      <c r="I143" s="46" t="s">
        <v>121</v>
      </c>
      <c r="J143" s="70" t="s">
        <v>26</v>
      </c>
      <c r="K143" s="23" t="s">
        <v>29</v>
      </c>
      <c r="L143" s="23"/>
      <c r="M143" s="158">
        <v>1776</v>
      </c>
      <c r="N143" s="158">
        <f>ROUNDUP(M143*0.6, 0)</f>
        <v>1066</v>
      </c>
      <c r="O143" s="23" t="s">
        <v>272</v>
      </c>
    </row>
    <row r="144" spans="1:15" s="8" customFormat="1" ht="34.5" customHeight="1" thickBot="1" x14ac:dyDescent="0.35">
      <c r="A144" s="60"/>
      <c r="B144" s="59"/>
      <c r="C144" s="21" t="s">
        <v>16</v>
      </c>
      <c r="D144" s="95" t="s">
        <v>23</v>
      </c>
      <c r="E144" s="67">
        <v>6</v>
      </c>
      <c r="F144" s="68">
        <v>1</v>
      </c>
      <c r="G144" s="100" t="s">
        <v>120</v>
      </c>
      <c r="H144" s="27" t="s">
        <v>37</v>
      </c>
      <c r="I144" s="100" t="s">
        <v>121</v>
      </c>
      <c r="J144" s="93" t="s">
        <v>185</v>
      </c>
      <c r="K144" s="27" t="s">
        <v>29</v>
      </c>
      <c r="L144" s="27"/>
      <c r="M144" s="161">
        <v>837.9</v>
      </c>
      <c r="N144" s="162">
        <f>ROUNDUP(M144*0.6, 0)</f>
        <v>503</v>
      </c>
      <c r="O144" s="27" t="s">
        <v>314</v>
      </c>
    </row>
    <row r="145" spans="1:15" s="8" customFormat="1" ht="18" customHeight="1" x14ac:dyDescent="0.3">
      <c r="A145" s="60"/>
      <c r="B145" s="59"/>
      <c r="C145" s="59"/>
      <c r="D145" s="59"/>
      <c r="E145" s="59"/>
      <c r="O145" s="318" t="s">
        <v>385</v>
      </c>
    </row>
    <row r="146" spans="1:15" s="8" customFormat="1" ht="18" customHeight="1" x14ac:dyDescent="0.3">
      <c r="A146" s="60"/>
      <c r="B146" s="59"/>
      <c r="C146" s="59"/>
      <c r="D146" s="59"/>
      <c r="E146" s="59"/>
    </row>
    <row r="147" spans="1:15" s="8" customFormat="1" ht="18" customHeight="1" x14ac:dyDescent="0.3">
      <c r="A147" s="60"/>
      <c r="B147" s="59"/>
      <c r="C147" s="59"/>
      <c r="D147" s="394"/>
      <c r="E147" s="395"/>
      <c r="F147" s="370"/>
      <c r="G147" s="372"/>
      <c r="H147" s="91"/>
      <c r="I147" s="372"/>
      <c r="J147" s="91"/>
      <c r="K147" s="91"/>
      <c r="L147" s="91"/>
      <c r="M147" s="373"/>
      <c r="N147" s="373"/>
      <c r="O147" s="91"/>
    </row>
    <row r="148" spans="1:15" s="8" customFormat="1" ht="18" customHeight="1" x14ac:dyDescent="0.3">
      <c r="A148" s="60"/>
      <c r="B148" s="59"/>
      <c r="C148" s="59"/>
      <c r="D148" s="402"/>
      <c r="E148" s="395"/>
      <c r="F148" s="370"/>
      <c r="G148" s="372"/>
      <c r="H148" s="91"/>
      <c r="I148" s="372"/>
      <c r="J148" s="91"/>
      <c r="K148" s="91"/>
      <c r="L148" s="91"/>
      <c r="M148" s="373"/>
      <c r="N148" s="373"/>
      <c r="O148" s="91"/>
    </row>
    <row r="149" spans="1:15" s="8" customFormat="1" ht="18" customHeight="1" x14ac:dyDescent="0.3">
      <c r="A149" s="60"/>
      <c r="B149" s="59"/>
      <c r="C149" s="59"/>
      <c r="D149" s="394"/>
      <c r="E149" s="395"/>
      <c r="F149" s="370"/>
      <c r="G149" s="372"/>
      <c r="H149" s="91"/>
      <c r="I149" s="372"/>
      <c r="J149" s="91"/>
      <c r="K149" s="91"/>
      <c r="L149" s="91"/>
      <c r="M149" s="373"/>
      <c r="N149" s="373"/>
      <c r="O149" s="91"/>
    </row>
    <row r="150" spans="1:15" s="8" customFormat="1" ht="18" customHeight="1" x14ac:dyDescent="0.3">
      <c r="A150" s="60"/>
      <c r="B150" s="59"/>
      <c r="C150" s="59"/>
      <c r="D150" s="401"/>
      <c r="E150" s="395"/>
      <c r="F150" s="370"/>
      <c r="G150" s="372"/>
      <c r="H150" s="91"/>
      <c r="I150" s="372"/>
      <c r="J150" s="372"/>
      <c r="K150" s="91"/>
      <c r="L150" s="91"/>
      <c r="M150" s="373"/>
      <c r="N150" s="373"/>
      <c r="O150" s="91"/>
    </row>
    <row r="151" spans="1:15" s="8" customFormat="1" ht="18" customHeight="1" x14ac:dyDescent="0.3">
      <c r="A151" s="60"/>
      <c r="B151" s="59"/>
      <c r="C151" s="59"/>
      <c r="D151" s="59"/>
      <c r="E151" s="59"/>
    </row>
    <row r="152" spans="1:15" s="8" customFormat="1" ht="18" customHeight="1" x14ac:dyDescent="0.3">
      <c r="A152" s="60"/>
      <c r="B152" s="59"/>
      <c r="C152" s="59"/>
      <c r="D152" s="59"/>
      <c r="E152" s="59"/>
    </row>
    <row r="153" spans="1:15" s="8" customFormat="1" ht="18" customHeight="1" x14ac:dyDescent="0.3">
      <c r="A153" s="885" t="s">
        <v>183</v>
      </c>
      <c r="B153" s="59"/>
      <c r="C153" s="59"/>
      <c r="D153" s="59"/>
      <c r="E153" s="59"/>
    </row>
    <row r="154" spans="1:15" s="8" customFormat="1" ht="18" customHeight="1" x14ac:dyDescent="0.3">
      <c r="A154" s="885"/>
      <c r="B154" s="59"/>
      <c r="C154" s="59"/>
      <c r="D154" s="59"/>
      <c r="E154" s="59"/>
    </row>
    <row r="155" spans="1:15" s="8" customFormat="1" ht="18" customHeight="1" x14ac:dyDescent="0.3">
      <c r="A155" s="885"/>
      <c r="B155" s="59"/>
      <c r="C155" s="59"/>
      <c r="D155" s="59"/>
      <c r="E155" s="59"/>
    </row>
    <row r="156" spans="1:15" s="8" customFormat="1" ht="18" customHeight="1" thickBot="1" x14ac:dyDescent="0.35">
      <c r="A156" s="885"/>
      <c r="B156" s="59"/>
      <c r="C156" s="59"/>
      <c r="D156" s="59"/>
      <c r="E156" s="59"/>
    </row>
    <row r="157" spans="1:15" ht="35.25" customHeight="1" x14ac:dyDescent="0.3">
      <c r="A157" s="669"/>
      <c r="B157" s="670"/>
      <c r="C157" s="670"/>
      <c r="D157" s="670"/>
      <c r="E157" s="670"/>
      <c r="F157" s="671"/>
      <c r="G157" s="671"/>
      <c r="H157" s="671"/>
      <c r="I157" s="671"/>
      <c r="J157" s="671"/>
      <c r="K157" s="671"/>
      <c r="L157" s="671"/>
      <c r="M157" s="671"/>
      <c r="N157" s="671"/>
      <c r="O157" s="671"/>
    </row>
    <row r="158" spans="1:15" ht="32.4" customHeight="1" x14ac:dyDescent="0.3">
      <c r="A158" s="883" t="s">
        <v>83</v>
      </c>
      <c r="B158" s="55"/>
      <c r="C158" s="56" t="s">
        <v>186</v>
      </c>
      <c r="D158" s="55"/>
      <c r="E158" s="55"/>
      <c r="O158" s="328" t="s">
        <v>34</v>
      </c>
    </row>
    <row r="159" spans="1:15" ht="25.8" customHeight="1" x14ac:dyDescent="0.5">
      <c r="A159" s="884"/>
      <c r="B159" s="55"/>
      <c r="C159" s="57" t="s">
        <v>174</v>
      </c>
      <c r="D159" s="55"/>
      <c r="E159" s="55"/>
    </row>
    <row r="160" spans="1:15" ht="25.8" customHeight="1" x14ac:dyDescent="0.5">
      <c r="A160" s="884"/>
      <c r="B160" s="55"/>
      <c r="C160" s="57" t="str">
        <f>"COST (EST.): "&amp;TEXT(SUM(N166:N167),"$0,000.00")</f>
        <v>COST (EST.): $6,598.00</v>
      </c>
      <c r="D160" s="55"/>
      <c r="E160" s="55"/>
    </row>
    <row r="161" spans="1:15" ht="72" customHeight="1" x14ac:dyDescent="0.3">
      <c r="A161" s="884"/>
      <c r="B161" s="55"/>
      <c r="C161" s="55"/>
      <c r="D161" s="55"/>
      <c r="E161" s="55"/>
    </row>
    <row r="162" spans="1:15" ht="72" customHeight="1" x14ac:dyDescent="0.3">
      <c r="A162" s="884"/>
      <c r="B162" s="55"/>
      <c r="C162" s="55"/>
      <c r="D162" s="55"/>
      <c r="E162" s="55"/>
    </row>
    <row r="163" spans="1:15" ht="72" customHeight="1" x14ac:dyDescent="0.3">
      <c r="A163" s="884"/>
      <c r="B163" s="55"/>
      <c r="C163" s="55"/>
      <c r="D163" s="55"/>
      <c r="E163" s="55"/>
    </row>
    <row r="164" spans="1:15" ht="72" customHeight="1" x14ac:dyDescent="0.3">
      <c r="A164" s="884"/>
      <c r="B164" s="55"/>
      <c r="C164" s="55"/>
      <c r="D164" s="55"/>
      <c r="E164" s="55"/>
    </row>
    <row r="165" spans="1:15" s="4" customFormat="1" ht="18" customHeight="1" thickBot="1" x14ac:dyDescent="0.35">
      <c r="A165" s="54"/>
      <c r="B165" s="58"/>
      <c r="C165" s="10" t="s">
        <v>1</v>
      </c>
      <c r="D165" s="5"/>
      <c r="E165" s="62" t="s">
        <v>2</v>
      </c>
      <c r="F165" s="62" t="s">
        <v>3</v>
      </c>
      <c r="G165" s="10" t="s">
        <v>4</v>
      </c>
      <c r="H165" s="10" t="s">
        <v>5</v>
      </c>
      <c r="I165" s="10" t="s">
        <v>6</v>
      </c>
      <c r="J165" s="69" t="s">
        <v>7</v>
      </c>
      <c r="K165" s="10" t="s">
        <v>8</v>
      </c>
      <c r="L165" s="10"/>
      <c r="M165" s="69" t="s">
        <v>283</v>
      </c>
      <c r="N165" s="214" t="s">
        <v>352</v>
      </c>
      <c r="O165" s="10" t="s">
        <v>10</v>
      </c>
    </row>
    <row r="166" spans="1:15" s="8" customFormat="1" ht="34.5" customHeight="1" x14ac:dyDescent="0.3">
      <c r="A166" s="60"/>
      <c r="B166" s="59"/>
      <c r="C166" s="19" t="s">
        <v>13</v>
      </c>
      <c r="D166" s="48" t="s">
        <v>23</v>
      </c>
      <c r="E166" s="63">
        <v>6</v>
      </c>
      <c r="F166" s="64">
        <v>3</v>
      </c>
      <c r="G166" s="46" t="s">
        <v>120</v>
      </c>
      <c r="H166" s="23" t="s">
        <v>37</v>
      </c>
      <c r="I166" s="46" t="s">
        <v>121</v>
      </c>
      <c r="J166" s="70" t="s">
        <v>26</v>
      </c>
      <c r="K166" s="23" t="s">
        <v>29</v>
      </c>
      <c r="L166" s="23"/>
      <c r="M166" s="158">
        <v>5328</v>
      </c>
      <c r="N166" s="158">
        <f>ROUNDUP(M166*0.6, 0)</f>
        <v>3197</v>
      </c>
      <c r="O166" s="23" t="s">
        <v>272</v>
      </c>
    </row>
    <row r="167" spans="1:15" s="8" customFormat="1" ht="34.5" customHeight="1" thickBot="1" x14ac:dyDescent="0.35">
      <c r="A167" s="60"/>
      <c r="B167" s="59"/>
      <c r="C167" s="21" t="s">
        <v>14</v>
      </c>
      <c r="D167" s="95" t="s">
        <v>23</v>
      </c>
      <c r="E167" s="67">
        <v>6</v>
      </c>
      <c r="F167" s="68">
        <v>2</v>
      </c>
      <c r="G167" s="100" t="s">
        <v>120</v>
      </c>
      <c r="H167" s="27" t="s">
        <v>37</v>
      </c>
      <c r="I167" s="100" t="s">
        <v>121</v>
      </c>
      <c r="J167" s="93" t="s">
        <v>116</v>
      </c>
      <c r="K167" s="27" t="s">
        <v>29</v>
      </c>
      <c r="L167" s="27"/>
      <c r="M167" s="161">
        <v>5668</v>
      </c>
      <c r="N167" s="162">
        <f>ROUNDUP(M167*0.6, 0)</f>
        <v>3401</v>
      </c>
      <c r="O167" s="27" t="s">
        <v>330</v>
      </c>
    </row>
    <row r="168" spans="1:15" s="8" customFormat="1" ht="18" customHeight="1" x14ac:dyDescent="0.3">
      <c r="A168" s="60"/>
      <c r="B168" s="59"/>
      <c r="C168" s="59"/>
      <c r="D168" s="59"/>
      <c r="E168" s="59"/>
      <c r="O168" s="318" t="s">
        <v>385</v>
      </c>
    </row>
    <row r="169" spans="1:15" s="8" customFormat="1" ht="18" customHeight="1" x14ac:dyDescent="0.3">
      <c r="A169" s="60"/>
      <c r="B169" s="59"/>
      <c r="C169" s="59"/>
      <c r="D169" s="59"/>
      <c r="E169" s="59"/>
    </row>
    <row r="170" spans="1:15" s="8" customFormat="1" ht="18" customHeight="1" x14ac:dyDescent="0.3">
      <c r="A170" s="60"/>
      <c r="B170" s="59"/>
      <c r="C170" s="59"/>
      <c r="D170" s="59"/>
      <c r="E170" s="59"/>
    </row>
    <row r="171" spans="1:15" s="8" customFormat="1" ht="18" customHeight="1" x14ac:dyDescent="0.3">
      <c r="A171" s="60"/>
      <c r="B171" s="59"/>
      <c r="C171" s="59"/>
      <c r="D171" s="59"/>
      <c r="E171" s="59"/>
    </row>
    <row r="172" spans="1:15" s="8" customFormat="1" ht="18" customHeight="1" x14ac:dyDescent="0.3">
      <c r="A172" s="60"/>
      <c r="B172" s="59"/>
      <c r="C172" s="59"/>
      <c r="D172" s="59"/>
      <c r="E172" s="59"/>
    </row>
    <row r="173" spans="1:15" s="8" customFormat="1" ht="18" customHeight="1" x14ac:dyDescent="0.3">
      <c r="A173" s="60"/>
      <c r="B173" s="59"/>
      <c r="C173" s="59"/>
      <c r="D173" s="59"/>
      <c r="E173" s="59"/>
    </row>
    <row r="174" spans="1:15" s="8" customFormat="1" ht="18" customHeight="1" x14ac:dyDescent="0.3">
      <c r="A174" s="60"/>
      <c r="B174" s="59"/>
      <c r="C174" s="59"/>
      <c r="D174" s="59"/>
      <c r="E174" s="59"/>
    </row>
    <row r="175" spans="1:15" s="8" customFormat="1" ht="18" customHeight="1" x14ac:dyDescent="0.3">
      <c r="A175" s="60"/>
      <c r="B175" s="59"/>
      <c r="C175" s="59"/>
      <c r="D175" s="59"/>
      <c r="E175" s="59"/>
    </row>
    <row r="176" spans="1:15" s="8" customFormat="1" ht="18" customHeight="1" x14ac:dyDescent="0.3">
      <c r="A176" s="60"/>
      <c r="B176" s="59"/>
      <c r="C176" s="59"/>
      <c r="D176" s="59"/>
      <c r="E176" s="59"/>
    </row>
    <row r="177" spans="1:15" s="8" customFormat="1" ht="18" customHeight="1" x14ac:dyDescent="0.3">
      <c r="A177" s="60"/>
      <c r="B177" s="59"/>
      <c r="C177" s="59"/>
      <c r="D177" s="59"/>
      <c r="E177" s="59"/>
    </row>
    <row r="178" spans="1:15" s="8" customFormat="1" ht="18" customHeight="1" x14ac:dyDescent="0.3">
      <c r="A178" s="60"/>
      <c r="B178" s="59"/>
      <c r="C178" s="59"/>
      <c r="D178" s="59"/>
      <c r="E178" s="59"/>
    </row>
    <row r="179" spans="1:15" s="8" customFormat="1" ht="18" customHeight="1" x14ac:dyDescent="0.3">
      <c r="A179" s="60"/>
      <c r="B179" s="59"/>
      <c r="C179" s="59"/>
      <c r="D179" s="59"/>
      <c r="E179" s="59"/>
    </row>
    <row r="180" spans="1:15" s="8" customFormat="1" ht="18" customHeight="1" x14ac:dyDescent="0.3">
      <c r="A180" s="885" t="s">
        <v>187</v>
      </c>
      <c r="B180" s="59"/>
      <c r="C180" s="59"/>
      <c r="D180" s="59"/>
      <c r="E180" s="59"/>
    </row>
    <row r="181" spans="1:15" s="8" customFormat="1" ht="18" customHeight="1" x14ac:dyDescent="0.3">
      <c r="A181" s="885"/>
      <c r="B181" s="59"/>
      <c r="C181" s="59"/>
      <c r="D181" s="59"/>
      <c r="E181" s="59"/>
    </row>
    <row r="182" spans="1:15" s="8" customFormat="1" ht="18" customHeight="1" x14ac:dyDescent="0.3">
      <c r="A182" s="885"/>
      <c r="B182" s="59"/>
      <c r="C182" s="59"/>
      <c r="D182" s="59"/>
      <c r="E182" s="59"/>
    </row>
    <row r="183" spans="1:15" s="8" customFormat="1" ht="18" customHeight="1" thickBot="1" x14ac:dyDescent="0.35">
      <c r="A183" s="885"/>
      <c r="B183" s="59"/>
      <c r="C183" s="59"/>
      <c r="D183" s="59"/>
      <c r="E183" s="59"/>
    </row>
    <row r="184" spans="1:15" ht="35.25" customHeight="1" x14ac:dyDescent="0.3">
      <c r="A184" s="669"/>
      <c r="B184" s="670"/>
      <c r="C184" s="670"/>
      <c r="D184" s="670"/>
      <c r="E184" s="670"/>
      <c r="F184" s="671"/>
      <c r="G184" s="671"/>
      <c r="H184" s="671"/>
      <c r="I184" s="671"/>
      <c r="J184" s="671"/>
      <c r="K184" s="671"/>
      <c r="L184" s="671"/>
      <c r="M184" s="671"/>
      <c r="N184" s="671"/>
      <c r="O184" s="671"/>
    </row>
    <row r="185" spans="1:15" ht="32.4" customHeight="1" x14ac:dyDescent="0.3">
      <c r="A185" s="883" t="s">
        <v>83</v>
      </c>
      <c r="B185" s="55"/>
      <c r="C185" s="56" t="s">
        <v>189</v>
      </c>
      <c r="D185" s="55"/>
      <c r="E185" s="55"/>
      <c r="O185" s="328" t="s">
        <v>34</v>
      </c>
    </row>
    <row r="186" spans="1:15" ht="25.8" customHeight="1" x14ac:dyDescent="0.5">
      <c r="A186" s="884"/>
      <c r="B186" s="55"/>
      <c r="C186" s="57" t="s">
        <v>174</v>
      </c>
      <c r="D186" s="55"/>
      <c r="E186" s="55"/>
    </row>
    <row r="187" spans="1:15" ht="25.8" customHeight="1" x14ac:dyDescent="0.5">
      <c r="A187" s="884"/>
      <c r="B187" s="55"/>
      <c r="C187" s="57" t="str">
        <f>"COST (EST.): "&amp;TEXT(SUM(N193:N194),"$0,000.00")</f>
        <v>COST (EST.): $7,305.00</v>
      </c>
      <c r="D187" s="55"/>
      <c r="E187" s="55"/>
    </row>
    <row r="188" spans="1:15" ht="72" customHeight="1" x14ac:dyDescent="0.3">
      <c r="A188" s="884"/>
      <c r="B188" s="55"/>
      <c r="C188" s="55"/>
      <c r="D188" s="55"/>
      <c r="E188" s="55"/>
    </row>
    <row r="189" spans="1:15" ht="72" customHeight="1" x14ac:dyDescent="0.3">
      <c r="A189" s="884"/>
      <c r="B189" s="55"/>
      <c r="C189" s="55"/>
      <c r="D189" s="55"/>
      <c r="E189" s="55"/>
    </row>
    <row r="190" spans="1:15" ht="72" customHeight="1" x14ac:dyDescent="0.3">
      <c r="A190" s="884"/>
      <c r="B190" s="55"/>
      <c r="C190" s="55"/>
      <c r="D190" s="55"/>
      <c r="E190" s="55"/>
    </row>
    <row r="191" spans="1:15" ht="72" customHeight="1" x14ac:dyDescent="0.3">
      <c r="A191" s="884"/>
      <c r="B191" s="55"/>
      <c r="C191" s="55"/>
      <c r="D191" s="55"/>
      <c r="E191" s="55"/>
    </row>
    <row r="192" spans="1:15" s="4" customFormat="1" ht="18" customHeight="1" thickBot="1" x14ac:dyDescent="0.35">
      <c r="A192" s="54"/>
      <c r="B192" s="58"/>
      <c r="C192" s="10" t="s">
        <v>1</v>
      </c>
      <c r="D192" s="5"/>
      <c r="E192" s="62" t="s">
        <v>2</v>
      </c>
      <c r="F192" s="62" t="s">
        <v>3</v>
      </c>
      <c r="G192" s="10" t="s">
        <v>4</v>
      </c>
      <c r="H192" s="10" t="s">
        <v>5</v>
      </c>
      <c r="I192" s="10" t="s">
        <v>6</v>
      </c>
      <c r="J192" s="69" t="s">
        <v>7</v>
      </c>
      <c r="K192" s="10" t="s">
        <v>8</v>
      </c>
      <c r="L192" s="10"/>
      <c r="M192" s="69" t="s">
        <v>283</v>
      </c>
      <c r="N192" s="214" t="s">
        <v>352</v>
      </c>
      <c r="O192" s="10" t="s">
        <v>10</v>
      </c>
    </row>
    <row r="193" spans="1:15" s="8" customFormat="1" ht="34.5" customHeight="1" x14ac:dyDescent="0.3">
      <c r="A193" s="60"/>
      <c r="B193" s="59"/>
      <c r="C193" s="19" t="s">
        <v>13</v>
      </c>
      <c r="D193" s="234" t="s">
        <v>23</v>
      </c>
      <c r="E193" s="65">
        <v>6</v>
      </c>
      <c r="F193" s="66">
        <v>4</v>
      </c>
      <c r="G193" s="38" t="s">
        <v>120</v>
      </c>
      <c r="H193" s="25" t="s">
        <v>37</v>
      </c>
      <c r="I193" s="38" t="s">
        <v>121</v>
      </c>
      <c r="J193" s="74" t="s">
        <v>116</v>
      </c>
      <c r="K193" s="25" t="s">
        <v>29</v>
      </c>
      <c r="L193" s="25"/>
      <c r="M193" s="159">
        <v>11336</v>
      </c>
      <c r="N193" s="159">
        <f>ROUNDUP(M193*0.6, 0)</f>
        <v>6802</v>
      </c>
      <c r="O193" s="25" t="s">
        <v>330</v>
      </c>
    </row>
    <row r="194" spans="1:15" s="8" customFormat="1" ht="34.5" customHeight="1" thickBot="1" x14ac:dyDescent="0.35">
      <c r="A194" s="60"/>
      <c r="B194" s="59"/>
      <c r="C194" s="239" t="s">
        <v>14</v>
      </c>
      <c r="D194" s="240" t="s">
        <v>23</v>
      </c>
      <c r="E194" s="241">
        <v>6</v>
      </c>
      <c r="F194" s="242">
        <v>1</v>
      </c>
      <c r="G194" s="243" t="s">
        <v>120</v>
      </c>
      <c r="H194" s="244" t="s">
        <v>37</v>
      </c>
      <c r="I194" s="243" t="s">
        <v>121</v>
      </c>
      <c r="J194" s="245" t="s">
        <v>185</v>
      </c>
      <c r="K194" s="244" t="s">
        <v>29</v>
      </c>
      <c r="L194" s="244"/>
      <c r="M194" s="162">
        <v>837.9</v>
      </c>
      <c r="N194" s="162">
        <f>ROUNDUP(M194*0.6, 0)</f>
        <v>503</v>
      </c>
      <c r="O194" s="244" t="s">
        <v>314</v>
      </c>
    </row>
    <row r="195" spans="1:15" s="8" customFormat="1" ht="18" customHeight="1" x14ac:dyDescent="0.3">
      <c r="A195" s="60"/>
      <c r="B195" s="59"/>
      <c r="C195" s="59"/>
      <c r="D195" s="59"/>
      <c r="E195" s="59"/>
      <c r="O195" s="318" t="s">
        <v>385</v>
      </c>
    </row>
    <row r="196" spans="1:15" s="8" customFormat="1" ht="18" customHeight="1" x14ac:dyDescent="0.3">
      <c r="A196" s="60"/>
      <c r="B196" s="59"/>
      <c r="C196" s="59"/>
      <c r="D196" s="59"/>
      <c r="E196" s="59"/>
    </row>
    <row r="197" spans="1:15" s="8" customFormat="1" ht="18" customHeight="1" x14ac:dyDescent="0.3">
      <c r="A197" s="60"/>
      <c r="B197" s="59"/>
      <c r="C197" s="59"/>
      <c r="D197" s="59"/>
      <c r="E197" s="59"/>
    </row>
    <row r="198" spans="1:15" s="8" customFormat="1" ht="18" customHeight="1" x14ac:dyDescent="0.3">
      <c r="A198" s="60"/>
      <c r="B198" s="59"/>
      <c r="C198" s="59"/>
      <c r="D198" s="394"/>
      <c r="E198" s="395"/>
      <c r="F198" s="370"/>
      <c r="G198" s="372"/>
      <c r="H198" s="91"/>
      <c r="I198" s="372"/>
      <c r="J198" s="91"/>
      <c r="K198" s="91"/>
      <c r="L198" s="91"/>
      <c r="M198" s="373"/>
      <c r="N198" s="373"/>
      <c r="O198" s="91"/>
    </row>
    <row r="199" spans="1:15" s="8" customFormat="1" ht="18" customHeight="1" x14ac:dyDescent="0.3">
      <c r="A199" s="60"/>
      <c r="B199" s="59"/>
      <c r="C199" s="59"/>
      <c r="D199" s="401"/>
      <c r="E199" s="395"/>
      <c r="F199" s="370"/>
      <c r="G199" s="372"/>
      <c r="H199" s="91"/>
      <c r="I199" s="372"/>
      <c r="J199" s="372"/>
      <c r="K199" s="91"/>
      <c r="L199" s="91"/>
      <c r="M199" s="373"/>
      <c r="N199" s="373"/>
      <c r="O199" s="91"/>
    </row>
    <row r="200" spans="1:15" s="8" customFormat="1" ht="18" customHeight="1" x14ac:dyDescent="0.3">
      <c r="A200" s="60"/>
      <c r="B200" s="59"/>
      <c r="C200" s="59"/>
      <c r="D200" s="59"/>
      <c r="E200" s="59"/>
    </row>
    <row r="201" spans="1:15" s="8" customFormat="1" ht="18" customHeight="1" x14ac:dyDescent="0.3">
      <c r="A201" s="60"/>
      <c r="B201" s="59"/>
      <c r="C201" s="59"/>
      <c r="D201" s="59"/>
      <c r="E201" s="59"/>
    </row>
    <row r="202" spans="1:15" s="8" customFormat="1" ht="18" customHeight="1" x14ac:dyDescent="0.3">
      <c r="A202" s="60"/>
      <c r="B202" s="59"/>
      <c r="C202" s="59"/>
      <c r="D202" s="59"/>
      <c r="E202" s="59"/>
    </row>
    <row r="203" spans="1:15" s="8" customFormat="1" ht="18" customHeight="1" x14ac:dyDescent="0.3">
      <c r="A203" s="60"/>
      <c r="B203" s="59"/>
      <c r="C203" s="59"/>
      <c r="D203" s="59"/>
      <c r="E203" s="59"/>
    </row>
    <row r="204" spans="1:15" s="8" customFormat="1" ht="18" customHeight="1" x14ac:dyDescent="0.3">
      <c r="A204" s="60"/>
      <c r="B204" s="59"/>
      <c r="C204" s="59"/>
      <c r="D204" s="59"/>
      <c r="E204" s="59"/>
    </row>
    <row r="205" spans="1:15" s="8" customFormat="1" ht="18" customHeight="1" x14ac:dyDescent="0.3">
      <c r="A205" s="60"/>
      <c r="B205" s="59"/>
      <c r="C205" s="59"/>
      <c r="D205" s="59"/>
      <c r="E205" s="59"/>
    </row>
    <row r="206" spans="1:15" s="8" customFormat="1" ht="18" customHeight="1" x14ac:dyDescent="0.3">
      <c r="A206" s="60"/>
      <c r="B206" s="59"/>
      <c r="C206" s="59"/>
      <c r="D206" s="59"/>
      <c r="E206" s="59"/>
    </row>
    <row r="207" spans="1:15" s="8" customFormat="1" ht="18" customHeight="1" x14ac:dyDescent="0.3">
      <c r="A207" s="885" t="s">
        <v>190</v>
      </c>
      <c r="B207" s="59"/>
      <c r="C207" s="59"/>
      <c r="D207" s="59"/>
      <c r="E207" s="59"/>
    </row>
    <row r="208" spans="1:15" s="8" customFormat="1" ht="18" customHeight="1" x14ac:dyDescent="0.3">
      <c r="A208" s="885"/>
      <c r="B208" s="59"/>
      <c r="C208" s="59"/>
      <c r="D208" s="59"/>
      <c r="E208" s="59"/>
    </row>
    <row r="209" spans="1:15" s="8" customFormat="1" ht="18" customHeight="1" x14ac:dyDescent="0.3">
      <c r="A209" s="885"/>
      <c r="B209" s="59"/>
      <c r="C209" s="59"/>
      <c r="D209" s="59"/>
      <c r="E209" s="59"/>
    </row>
    <row r="210" spans="1:15" s="8" customFormat="1" ht="18" customHeight="1" thickBot="1" x14ac:dyDescent="0.35">
      <c r="A210" s="885"/>
      <c r="B210" s="59"/>
      <c r="C210" s="59"/>
      <c r="D210" s="59"/>
      <c r="E210" s="59"/>
    </row>
    <row r="211" spans="1:15" ht="35.25" customHeight="1" x14ac:dyDescent="0.3">
      <c r="A211" s="669"/>
      <c r="B211" s="670"/>
      <c r="C211" s="670"/>
      <c r="D211" s="670"/>
      <c r="E211" s="670"/>
      <c r="F211" s="671"/>
      <c r="G211" s="671"/>
      <c r="H211" s="671"/>
      <c r="I211" s="671"/>
      <c r="J211" s="671"/>
      <c r="K211" s="671"/>
      <c r="L211" s="671"/>
      <c r="M211" s="671"/>
      <c r="N211" s="671"/>
      <c r="O211" s="671"/>
    </row>
    <row r="212" spans="1:15" ht="32.4" customHeight="1" x14ac:dyDescent="0.3">
      <c r="A212" s="883" t="s">
        <v>83</v>
      </c>
      <c r="B212" s="55"/>
      <c r="C212" s="56" t="s">
        <v>192</v>
      </c>
      <c r="D212" s="55"/>
      <c r="E212" s="55"/>
      <c r="O212" s="328" t="s">
        <v>34</v>
      </c>
    </row>
    <row r="213" spans="1:15" ht="25.8" customHeight="1" x14ac:dyDescent="0.5">
      <c r="A213" s="884"/>
      <c r="B213" s="55"/>
      <c r="C213" s="57" t="s">
        <v>174</v>
      </c>
      <c r="D213" s="55"/>
      <c r="E213" s="55"/>
    </row>
    <row r="214" spans="1:15" ht="25.8" customHeight="1" x14ac:dyDescent="0.5">
      <c r="A214" s="884"/>
      <c r="B214" s="55"/>
      <c r="C214" s="57" t="str">
        <f>"COST (EST.): "&amp;TEXT(SUM(N220:N221),"$0,000.00")</f>
        <v>COST (EST.): $7,326.00</v>
      </c>
      <c r="D214" s="55"/>
      <c r="E214" s="55"/>
    </row>
    <row r="215" spans="1:15" ht="72" customHeight="1" x14ac:dyDescent="0.3">
      <c r="A215" s="884"/>
      <c r="B215" s="55"/>
      <c r="C215" s="55"/>
      <c r="D215" s="55"/>
      <c r="E215" s="55"/>
    </row>
    <row r="216" spans="1:15" ht="72" customHeight="1" x14ac:dyDescent="0.3">
      <c r="A216" s="884"/>
      <c r="B216" s="55"/>
      <c r="C216" s="55"/>
      <c r="D216" s="55"/>
      <c r="E216" s="55"/>
    </row>
    <row r="217" spans="1:15" ht="72" customHeight="1" x14ac:dyDescent="0.3">
      <c r="A217" s="884"/>
      <c r="B217" s="55"/>
      <c r="C217" s="55"/>
      <c r="D217" s="55"/>
      <c r="E217" s="55"/>
    </row>
    <row r="218" spans="1:15" ht="72" customHeight="1" x14ac:dyDescent="0.3">
      <c r="A218" s="884"/>
      <c r="B218" s="55"/>
      <c r="C218" s="55"/>
      <c r="D218" s="55"/>
      <c r="E218" s="55"/>
    </row>
    <row r="219" spans="1:15" s="4" customFormat="1" ht="18" customHeight="1" thickBot="1" x14ac:dyDescent="0.35">
      <c r="A219" s="54"/>
      <c r="B219" s="58"/>
      <c r="C219" s="10" t="s">
        <v>1</v>
      </c>
      <c r="D219" s="5"/>
      <c r="E219" s="62" t="s">
        <v>2</v>
      </c>
      <c r="F219" s="62" t="s">
        <v>3</v>
      </c>
      <c r="G219" s="10" t="s">
        <v>4</v>
      </c>
      <c r="H219" s="10" t="s">
        <v>5</v>
      </c>
      <c r="I219" s="10" t="s">
        <v>6</v>
      </c>
      <c r="J219" s="69" t="s">
        <v>7</v>
      </c>
      <c r="K219" s="10" t="s">
        <v>8</v>
      </c>
      <c r="L219" s="10"/>
      <c r="M219" s="69" t="s">
        <v>283</v>
      </c>
      <c r="N219" s="214" t="s">
        <v>352</v>
      </c>
      <c r="O219" s="10" t="s">
        <v>10</v>
      </c>
    </row>
    <row r="220" spans="1:15" s="8" customFormat="1" ht="34.5" customHeight="1" x14ac:dyDescent="0.3">
      <c r="A220" s="60"/>
      <c r="B220" s="59"/>
      <c r="C220" s="19" t="s">
        <v>13</v>
      </c>
      <c r="D220" s="361" t="s">
        <v>331</v>
      </c>
      <c r="E220" s="63" t="s">
        <v>19</v>
      </c>
      <c r="F220" s="64">
        <v>3</v>
      </c>
      <c r="G220" s="46" t="s">
        <v>120</v>
      </c>
      <c r="H220" s="23" t="s">
        <v>37</v>
      </c>
      <c r="I220" s="46" t="s">
        <v>121</v>
      </c>
      <c r="J220" s="70" t="s">
        <v>116</v>
      </c>
      <c r="K220" s="23" t="s">
        <v>29</v>
      </c>
      <c r="L220" s="23"/>
      <c r="M220" s="158">
        <v>9000</v>
      </c>
      <c r="N220" s="158">
        <f>ROUNDUP(M220*0.6, 0)</f>
        <v>5400</v>
      </c>
      <c r="O220" s="23" t="s">
        <v>36</v>
      </c>
    </row>
    <row r="221" spans="1:15" s="8" customFormat="1" ht="34.5" customHeight="1" thickBot="1" x14ac:dyDescent="0.35">
      <c r="A221" s="60"/>
      <c r="B221" s="59"/>
      <c r="C221" s="239" t="s">
        <v>14</v>
      </c>
      <c r="D221" s="240" t="s">
        <v>47</v>
      </c>
      <c r="E221" s="241">
        <v>6</v>
      </c>
      <c r="F221" s="242">
        <v>4</v>
      </c>
      <c r="G221" s="243" t="s">
        <v>36</v>
      </c>
      <c r="H221" s="244" t="s">
        <v>53</v>
      </c>
      <c r="I221" s="243" t="s">
        <v>54</v>
      </c>
      <c r="J221" s="245" t="s">
        <v>107</v>
      </c>
      <c r="K221" s="244" t="s">
        <v>114</v>
      </c>
      <c r="L221" s="244"/>
      <c r="M221" s="162">
        <v>3209.76</v>
      </c>
      <c r="N221" s="162">
        <f>ROUNDUP(M221*0.6, 0)</f>
        <v>1926</v>
      </c>
      <c r="O221" s="246" t="s">
        <v>267</v>
      </c>
    </row>
    <row r="222" spans="1:15" s="8" customFormat="1" ht="18" customHeight="1" x14ac:dyDescent="0.3">
      <c r="A222" s="60"/>
      <c r="B222" s="59"/>
      <c r="C222" s="59"/>
      <c r="D222" s="59"/>
      <c r="E222" s="59"/>
      <c r="O222" s="318" t="s">
        <v>385</v>
      </c>
    </row>
    <row r="223" spans="1:15" s="8" customFormat="1" ht="18" customHeight="1" x14ac:dyDescent="0.3">
      <c r="A223" s="60"/>
      <c r="B223" s="59"/>
      <c r="C223" s="59"/>
      <c r="D223" s="59"/>
      <c r="E223" s="59"/>
    </row>
    <row r="224" spans="1:15" s="8" customFormat="1" ht="18" customHeight="1" x14ac:dyDescent="0.3">
      <c r="A224" s="60"/>
      <c r="B224" s="59"/>
      <c r="C224" s="59"/>
      <c r="D224" s="59"/>
      <c r="E224" s="59"/>
    </row>
    <row r="225" spans="1:15" s="8" customFormat="1" ht="18" customHeight="1" x14ac:dyDescent="0.3">
      <c r="A225" s="60"/>
      <c r="B225" s="59"/>
      <c r="C225" s="59"/>
      <c r="D225" s="59"/>
      <c r="E225" s="59"/>
    </row>
    <row r="226" spans="1:15" s="8" customFormat="1" ht="18" customHeight="1" x14ac:dyDescent="0.3">
      <c r="A226" s="60"/>
      <c r="B226" s="59"/>
      <c r="C226" s="59"/>
      <c r="D226" s="59"/>
      <c r="E226" s="59"/>
    </row>
    <row r="227" spans="1:15" s="8" customFormat="1" ht="18" customHeight="1" x14ac:dyDescent="0.3">
      <c r="A227" s="60"/>
      <c r="B227" s="59"/>
      <c r="C227" s="59"/>
      <c r="D227" s="59"/>
      <c r="E227" s="59"/>
    </row>
    <row r="228" spans="1:15" s="8" customFormat="1" ht="18" customHeight="1" x14ac:dyDescent="0.3">
      <c r="A228" s="60"/>
      <c r="B228" s="59"/>
      <c r="C228" s="59"/>
      <c r="D228" s="59"/>
      <c r="E228" s="59"/>
    </row>
    <row r="229" spans="1:15" s="8" customFormat="1" ht="18" customHeight="1" x14ac:dyDescent="0.3">
      <c r="A229" s="60"/>
      <c r="B229" s="59"/>
      <c r="C229" s="59"/>
      <c r="D229" s="59"/>
      <c r="E229" s="59"/>
    </row>
    <row r="230" spans="1:15" s="8" customFormat="1" ht="18" customHeight="1" x14ac:dyDescent="0.3">
      <c r="A230" s="60"/>
      <c r="B230" s="59"/>
      <c r="C230" s="59"/>
      <c r="D230" s="59"/>
      <c r="E230" s="59"/>
    </row>
    <row r="231" spans="1:15" s="8" customFormat="1" ht="18" customHeight="1" x14ac:dyDescent="0.3">
      <c r="A231" s="60"/>
      <c r="B231" s="59"/>
      <c r="C231" s="59"/>
      <c r="D231" s="59"/>
      <c r="E231" s="59"/>
    </row>
    <row r="232" spans="1:15" s="8" customFormat="1" ht="18" customHeight="1" x14ac:dyDescent="0.3">
      <c r="A232" s="60"/>
      <c r="B232" s="59"/>
      <c r="C232" s="59"/>
      <c r="D232" s="59"/>
      <c r="E232" s="59"/>
    </row>
    <row r="233" spans="1:15" s="8" customFormat="1" ht="18" customHeight="1" x14ac:dyDescent="0.3">
      <c r="A233" s="60"/>
      <c r="B233" s="59"/>
      <c r="C233" s="59"/>
      <c r="D233" s="59"/>
      <c r="E233" s="59"/>
    </row>
    <row r="234" spans="1:15" s="8" customFormat="1" ht="18" customHeight="1" x14ac:dyDescent="0.3">
      <c r="A234" s="885" t="s">
        <v>193</v>
      </c>
      <c r="B234" s="59"/>
      <c r="C234" s="59"/>
      <c r="D234" s="59"/>
      <c r="E234" s="59"/>
    </row>
    <row r="235" spans="1:15" s="8" customFormat="1" ht="18" customHeight="1" x14ac:dyDescent="0.3">
      <c r="A235" s="885"/>
      <c r="B235" s="59"/>
      <c r="C235" s="59"/>
      <c r="D235" s="59"/>
      <c r="E235" s="59"/>
    </row>
    <row r="236" spans="1:15" s="8" customFormat="1" ht="18" customHeight="1" x14ac:dyDescent="0.3">
      <c r="A236" s="885"/>
      <c r="B236" s="59"/>
      <c r="C236" s="59"/>
      <c r="D236" s="59"/>
      <c r="E236" s="59"/>
    </row>
    <row r="237" spans="1:15" s="8" customFormat="1" ht="18" customHeight="1" thickBot="1" x14ac:dyDescent="0.35">
      <c r="A237" s="885"/>
      <c r="B237" s="59"/>
      <c r="C237" s="59"/>
      <c r="D237" s="59"/>
      <c r="E237" s="59"/>
    </row>
    <row r="238" spans="1:15" ht="18" customHeight="1" x14ac:dyDescent="0.3">
      <c r="A238" s="672"/>
      <c r="B238" s="671"/>
      <c r="C238" s="671"/>
      <c r="D238" s="671"/>
      <c r="E238" s="671"/>
      <c r="F238" s="671"/>
      <c r="G238" s="671"/>
      <c r="H238" s="671"/>
      <c r="I238" s="671"/>
      <c r="J238" s="671"/>
      <c r="K238" s="671"/>
      <c r="L238" s="671"/>
      <c r="M238" s="671"/>
      <c r="N238" s="671"/>
      <c r="O238" s="671"/>
    </row>
  </sheetData>
  <sheetProtection sheet="1" objects="1" scenarios="1" selectLockedCells="1"/>
  <mergeCells count="18">
    <mergeCell ref="A74:A77"/>
    <mergeCell ref="A2:A8"/>
    <mergeCell ref="A23:A26"/>
    <mergeCell ref="A28:A34"/>
    <mergeCell ref="A48:A51"/>
    <mergeCell ref="A53:A59"/>
    <mergeCell ref="A234:A237"/>
    <mergeCell ref="A79:A85"/>
    <mergeCell ref="A101:A104"/>
    <mergeCell ref="A106:A112"/>
    <mergeCell ref="A128:A131"/>
    <mergeCell ref="A133:A139"/>
    <mergeCell ref="A153:A156"/>
    <mergeCell ref="A158:A164"/>
    <mergeCell ref="A180:A183"/>
    <mergeCell ref="A185:A191"/>
    <mergeCell ref="A207:A210"/>
    <mergeCell ref="A212:A218"/>
  </mergeCells>
  <conditionalFormatting sqref="A1:XFD8 A220:XFD1048576 A219:M219 O219:XFD219 A193:XFD218 A192:M192 O192:XFD192 A166:XFD191 A165:M165 O165:XFD165 A141:XFD164 A140:M140 O140:XFD140 A114:XFD139 A113:M113 O113:XFD113 A87:XFD112 A86:M86 O86:XFD86 A61:XFD85 A60:M60 O60:XFD60 A36:XFD59 A35:M35 O35:XFD35 A10:XFD34 A9:M9 O9:XFD9">
    <cfRule type="cellIs" dxfId="21" priority="10" operator="equal">
      <formula>"N/A"</formula>
    </cfRule>
  </conditionalFormatting>
  <conditionalFormatting sqref="N219">
    <cfRule type="cellIs" dxfId="20" priority="9" operator="equal">
      <formula>"N/A"</formula>
    </cfRule>
  </conditionalFormatting>
  <conditionalFormatting sqref="N192">
    <cfRule type="cellIs" dxfId="19" priority="8" operator="equal">
      <formula>"N/A"</formula>
    </cfRule>
  </conditionalFormatting>
  <conditionalFormatting sqref="N165">
    <cfRule type="cellIs" dxfId="18" priority="7" operator="equal">
      <formula>"N/A"</formula>
    </cfRule>
  </conditionalFormatting>
  <conditionalFormatting sqref="N140">
    <cfRule type="cellIs" dxfId="17" priority="6" operator="equal">
      <formula>"N/A"</formula>
    </cfRule>
  </conditionalFormatting>
  <conditionalFormatting sqref="N113">
    <cfRule type="cellIs" dxfId="16" priority="5" operator="equal">
      <formula>"N/A"</formula>
    </cfRule>
  </conditionalFormatting>
  <conditionalFormatting sqref="N86">
    <cfRule type="cellIs" dxfId="15" priority="4" operator="equal">
      <formula>"N/A"</formula>
    </cfRule>
  </conditionalFormatting>
  <conditionalFormatting sqref="N60">
    <cfRule type="cellIs" dxfId="14" priority="3" operator="equal">
      <formula>"N/A"</formula>
    </cfRule>
  </conditionalFormatting>
  <conditionalFormatting sqref="N35">
    <cfRule type="cellIs" dxfId="13" priority="2" operator="equal">
      <formula>"N/A"</formula>
    </cfRule>
  </conditionalFormatting>
  <conditionalFormatting sqref="N9">
    <cfRule type="cellIs" dxfId="12" priority="1" operator="equal">
      <formula>"N/A"</formula>
    </cfRule>
  </conditionalFormatting>
  <hyperlinks>
    <hyperlink ref="O2" location="ToC!A1" display="Return to Table of Contents"/>
    <hyperlink ref="O28" location="ToC!A1" display="Return to Table of Contents"/>
    <hyperlink ref="O53" location="ToC!A1" display="Return to Table of Contents"/>
    <hyperlink ref="O79" location="ToC!A1" display="Return to Table of Contents"/>
    <hyperlink ref="O106" location="ToC!A1" display="Return to Table of Contents"/>
    <hyperlink ref="O133" location="ToC!A1" display="Return to Table of Contents"/>
    <hyperlink ref="O158" location="ToC!A1" display="Return to Table of Contents"/>
    <hyperlink ref="O185" location="ToC!A1" display="Return to Table of Contents"/>
    <hyperlink ref="O212" location="ToC!A1" display="Return to Table of Contents"/>
  </hyperlinks>
  <printOptions verticalCentered="1"/>
  <pageMargins left="0.5" right="0.5" top="0" bottom="0" header="0.3" footer="0.3"/>
  <pageSetup paperSize="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CD1"/>
  </sheetPr>
  <dimension ref="A1:O69"/>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4"/>
      <c r="B1" s="55"/>
      <c r="C1" s="55"/>
      <c r="D1" s="55"/>
      <c r="E1" s="55"/>
    </row>
    <row r="2" spans="1:15" ht="32.4" customHeight="1" x14ac:dyDescent="0.3">
      <c r="A2" s="883" t="s">
        <v>83</v>
      </c>
      <c r="B2" s="55"/>
      <c r="C2" s="56" t="s">
        <v>100</v>
      </c>
      <c r="D2" s="55"/>
      <c r="E2" s="55"/>
      <c r="O2" s="328" t="s">
        <v>34</v>
      </c>
    </row>
    <row r="3" spans="1:15" ht="25.8" customHeight="1" x14ac:dyDescent="0.5">
      <c r="A3" s="884"/>
      <c r="B3" s="55"/>
      <c r="C3" s="57" t="s">
        <v>367</v>
      </c>
      <c r="D3" s="55"/>
      <c r="E3" s="55"/>
    </row>
    <row r="4" spans="1:15" ht="25.8" customHeight="1" x14ac:dyDescent="0.5">
      <c r="A4" s="884"/>
      <c r="B4" s="55"/>
      <c r="C4" s="57" t="str">
        <f>"COST (EST.): "&amp;TEXT(SUM(N10:N16),"$0,000.00")</f>
        <v>COST (EST.): $13,457.00</v>
      </c>
      <c r="D4" s="55"/>
      <c r="E4" s="55"/>
    </row>
    <row r="5" spans="1:15" ht="72" customHeight="1" x14ac:dyDescent="0.3">
      <c r="A5" s="884"/>
      <c r="B5" s="55"/>
      <c r="C5" s="55"/>
      <c r="D5" s="55"/>
      <c r="E5" s="55"/>
    </row>
    <row r="6" spans="1:15" ht="72" customHeight="1" x14ac:dyDescent="0.3">
      <c r="A6" s="884"/>
      <c r="B6" s="55"/>
      <c r="C6" s="55"/>
      <c r="D6" s="55"/>
      <c r="E6" s="55"/>
    </row>
    <row r="7" spans="1:15" ht="72" customHeight="1" x14ac:dyDescent="0.3">
      <c r="A7" s="884"/>
      <c r="B7" s="55"/>
      <c r="C7" s="55"/>
      <c r="D7" s="55"/>
      <c r="E7" s="55"/>
      <c r="N7" s="221"/>
    </row>
    <row r="8" spans="1:15" ht="72" customHeight="1" x14ac:dyDescent="0.3">
      <c r="A8" s="884"/>
      <c r="B8" s="55"/>
      <c r="C8" s="55"/>
      <c r="D8" s="55"/>
      <c r="E8" s="55"/>
      <c r="N8" s="222"/>
    </row>
    <row r="9" spans="1:15" s="4" customFormat="1" ht="18" customHeight="1" thickBot="1" x14ac:dyDescent="0.35">
      <c r="A9" s="54"/>
      <c r="B9" s="58"/>
      <c r="C9" s="198" t="s">
        <v>1</v>
      </c>
      <c r="D9" s="199"/>
      <c r="E9" s="215" t="s">
        <v>2</v>
      </c>
      <c r="F9" s="215" t="s">
        <v>3</v>
      </c>
      <c r="G9" s="198" t="s">
        <v>4</v>
      </c>
      <c r="H9" s="198" t="s">
        <v>5</v>
      </c>
      <c r="I9" s="198" t="s">
        <v>6</v>
      </c>
      <c r="J9" s="216" t="s">
        <v>7</v>
      </c>
      <c r="K9" s="198" t="s">
        <v>8</v>
      </c>
      <c r="L9" s="199"/>
      <c r="M9" s="216" t="s">
        <v>264</v>
      </c>
      <c r="N9" s="214" t="s">
        <v>352</v>
      </c>
      <c r="O9" s="198" t="s">
        <v>10</v>
      </c>
    </row>
    <row r="10" spans="1:15" s="8" customFormat="1" ht="34.5" customHeight="1" x14ac:dyDescent="0.3">
      <c r="A10" s="60"/>
      <c r="B10" s="59"/>
      <c r="C10" s="19" t="s">
        <v>13</v>
      </c>
      <c r="D10" s="404" t="s">
        <v>105</v>
      </c>
      <c r="E10" s="431">
        <v>6</v>
      </c>
      <c r="F10" s="432">
        <v>1</v>
      </c>
      <c r="G10" s="407" t="s">
        <v>36</v>
      </c>
      <c r="H10" s="407" t="s">
        <v>36</v>
      </c>
      <c r="I10" s="407" t="s">
        <v>36</v>
      </c>
      <c r="J10" s="433" t="s">
        <v>106</v>
      </c>
      <c r="K10" s="407" t="s">
        <v>29</v>
      </c>
      <c r="L10" s="407"/>
      <c r="M10" s="434">
        <v>1659</v>
      </c>
      <c r="N10" s="435">
        <f t="shared" ref="N10" si="0">ROUNDUP(M10*0.6,0)</f>
        <v>996</v>
      </c>
      <c r="O10" s="436" t="s">
        <v>270</v>
      </c>
    </row>
    <row r="11" spans="1:15" s="8" customFormat="1" ht="34.5" customHeight="1" x14ac:dyDescent="0.3">
      <c r="A11" s="60"/>
      <c r="B11" s="59"/>
      <c r="C11" s="20" t="s">
        <v>14</v>
      </c>
      <c r="D11" s="49" t="s">
        <v>45</v>
      </c>
      <c r="E11" s="65">
        <v>6</v>
      </c>
      <c r="F11" s="66">
        <v>2</v>
      </c>
      <c r="G11" s="38" t="s">
        <v>50</v>
      </c>
      <c r="H11" s="38" t="s">
        <v>51</v>
      </c>
      <c r="I11" s="38" t="s">
        <v>110</v>
      </c>
      <c r="J11" s="74" t="s">
        <v>58</v>
      </c>
      <c r="K11" s="25" t="s">
        <v>30</v>
      </c>
      <c r="L11" s="25"/>
      <c r="M11" s="156">
        <v>3034.2</v>
      </c>
      <c r="N11" s="159">
        <f t="shared" ref="N11:N13" si="1">ROUNDUP(M11*0.6,0)</f>
        <v>1821</v>
      </c>
      <c r="O11" s="173" t="s">
        <v>266</v>
      </c>
    </row>
    <row r="12" spans="1:15" s="8" customFormat="1" ht="34.5" customHeight="1" x14ac:dyDescent="0.3">
      <c r="A12" s="60"/>
      <c r="B12" s="59"/>
      <c r="C12" s="20" t="s">
        <v>15</v>
      </c>
      <c r="D12" s="49" t="s">
        <v>104</v>
      </c>
      <c r="E12" s="65">
        <v>6</v>
      </c>
      <c r="F12" s="66">
        <v>2</v>
      </c>
      <c r="G12" s="109" t="s">
        <v>111</v>
      </c>
      <c r="H12" s="25" t="s">
        <v>37</v>
      </c>
      <c r="I12" s="109" t="s">
        <v>112</v>
      </c>
      <c r="J12" s="71" t="s">
        <v>113</v>
      </c>
      <c r="K12" s="25" t="s">
        <v>29</v>
      </c>
      <c r="L12" s="25"/>
      <c r="M12" s="156">
        <v>4500</v>
      </c>
      <c r="N12" s="159">
        <f t="shared" si="1"/>
        <v>2700</v>
      </c>
      <c r="O12" s="173" t="s">
        <v>265</v>
      </c>
    </row>
    <row r="13" spans="1:15" s="8" customFormat="1" ht="34.5" customHeight="1" x14ac:dyDescent="0.3">
      <c r="A13" s="60"/>
      <c r="B13" s="59"/>
      <c r="C13" s="20" t="s">
        <v>16</v>
      </c>
      <c r="D13" s="49" t="s">
        <v>49</v>
      </c>
      <c r="E13" s="65">
        <v>6</v>
      </c>
      <c r="F13" s="66">
        <v>2</v>
      </c>
      <c r="G13" s="25" t="s">
        <v>36</v>
      </c>
      <c r="H13" s="25" t="s">
        <v>36</v>
      </c>
      <c r="I13" s="38" t="s">
        <v>36</v>
      </c>
      <c r="J13" s="71" t="s">
        <v>62</v>
      </c>
      <c r="K13" s="77" t="s">
        <v>115</v>
      </c>
      <c r="L13" s="25"/>
      <c r="M13" s="156">
        <v>4691.74</v>
      </c>
      <c r="N13" s="159">
        <f t="shared" si="1"/>
        <v>2816</v>
      </c>
      <c r="O13" s="173" t="s">
        <v>268</v>
      </c>
    </row>
    <row r="14" spans="1:15" s="8" customFormat="1" ht="34.5" customHeight="1" x14ac:dyDescent="0.3">
      <c r="A14" s="60"/>
      <c r="B14" s="59"/>
      <c r="C14" s="20" t="s">
        <v>17</v>
      </c>
      <c r="D14" s="49" t="s">
        <v>21</v>
      </c>
      <c r="E14" s="65">
        <v>6</v>
      </c>
      <c r="F14" s="66">
        <v>4</v>
      </c>
      <c r="G14" s="25" t="s">
        <v>36</v>
      </c>
      <c r="H14" s="25" t="s">
        <v>36</v>
      </c>
      <c r="I14" s="25" t="s">
        <v>36</v>
      </c>
      <c r="J14" s="71" t="s">
        <v>22</v>
      </c>
      <c r="K14" s="25" t="s">
        <v>30</v>
      </c>
      <c r="L14" s="25"/>
      <c r="M14" s="156">
        <v>2400</v>
      </c>
      <c r="N14" s="159">
        <f t="shared" ref="N14:N16" si="2">ROUNDUP(M14*0.6,0)</f>
        <v>1440</v>
      </c>
      <c r="O14" s="173" t="s">
        <v>271</v>
      </c>
    </row>
    <row r="15" spans="1:15" s="8" customFormat="1" ht="34.5" customHeight="1" x14ac:dyDescent="0.3">
      <c r="A15" s="60"/>
      <c r="B15" s="59"/>
      <c r="C15" s="20" t="s">
        <v>46</v>
      </c>
      <c r="D15" s="49" t="s">
        <v>47</v>
      </c>
      <c r="E15" s="65">
        <v>6</v>
      </c>
      <c r="F15" s="66">
        <v>4</v>
      </c>
      <c r="G15" s="25" t="s">
        <v>36</v>
      </c>
      <c r="H15" s="25" t="s">
        <v>53</v>
      </c>
      <c r="I15" s="38" t="s">
        <v>109</v>
      </c>
      <c r="J15" s="71" t="s">
        <v>107</v>
      </c>
      <c r="K15" s="77" t="s">
        <v>114</v>
      </c>
      <c r="L15" s="25"/>
      <c r="M15" s="156">
        <v>3209.76</v>
      </c>
      <c r="N15" s="159">
        <f t="shared" si="2"/>
        <v>1926</v>
      </c>
      <c r="O15" s="173" t="s">
        <v>267</v>
      </c>
    </row>
    <row r="16" spans="1:15" s="8" customFormat="1" ht="34.5" customHeight="1" thickBot="1" x14ac:dyDescent="0.35">
      <c r="A16" s="60"/>
      <c r="B16" s="59"/>
      <c r="C16" s="21" t="s">
        <v>103</v>
      </c>
      <c r="D16" s="240" t="s">
        <v>25</v>
      </c>
      <c r="E16" s="241">
        <v>6</v>
      </c>
      <c r="F16" s="242">
        <v>4</v>
      </c>
      <c r="G16" s="244" t="s">
        <v>43</v>
      </c>
      <c r="H16" s="244" t="s">
        <v>43</v>
      </c>
      <c r="I16" s="243" t="s">
        <v>108</v>
      </c>
      <c r="J16" s="245" t="s">
        <v>28</v>
      </c>
      <c r="K16" s="244" t="s">
        <v>29</v>
      </c>
      <c r="L16" s="244"/>
      <c r="M16" s="437">
        <v>2928.9</v>
      </c>
      <c r="N16" s="162">
        <f t="shared" si="2"/>
        <v>1758</v>
      </c>
      <c r="O16" s="174" t="s">
        <v>269</v>
      </c>
    </row>
    <row r="17" spans="1:15" s="8" customFormat="1" ht="18" customHeight="1" x14ac:dyDescent="0.3">
      <c r="A17" s="60"/>
      <c r="B17" s="59"/>
      <c r="C17" s="59"/>
      <c r="D17" s="59"/>
      <c r="E17" s="59"/>
      <c r="O17" s="318" t="s">
        <v>385</v>
      </c>
    </row>
    <row r="18" spans="1:15" s="8" customFormat="1" ht="18" customHeight="1" x14ac:dyDescent="0.3">
      <c r="A18" s="60"/>
      <c r="B18" s="59"/>
      <c r="C18" s="59"/>
      <c r="D18" s="59"/>
      <c r="E18" s="59"/>
    </row>
    <row r="19" spans="1:15" s="8" customFormat="1" ht="18" customHeight="1" x14ac:dyDescent="0.3">
      <c r="A19" s="885" t="s">
        <v>0</v>
      </c>
      <c r="B19" s="59"/>
      <c r="C19" s="59"/>
      <c r="D19" s="59"/>
      <c r="E19" s="59"/>
    </row>
    <row r="20" spans="1:15" s="8" customFormat="1" ht="18" customHeight="1" x14ac:dyDescent="0.3">
      <c r="A20" s="885"/>
      <c r="B20" s="59"/>
      <c r="C20" s="59"/>
      <c r="D20" s="59"/>
      <c r="E20" s="59"/>
    </row>
    <row r="21" spans="1:15" s="8" customFormat="1" ht="18" customHeight="1" x14ac:dyDescent="0.3">
      <c r="A21" s="885"/>
      <c r="B21" s="59"/>
      <c r="C21" s="59"/>
      <c r="D21" s="59"/>
      <c r="E21" s="59"/>
    </row>
    <row r="22" spans="1:15" s="8" customFormat="1" ht="18" customHeight="1" thickBot="1" x14ac:dyDescent="0.35">
      <c r="A22" s="885"/>
      <c r="B22" s="59"/>
      <c r="C22" s="59"/>
      <c r="D22" s="59"/>
      <c r="E22" s="59"/>
      <c r="O22" s="163"/>
    </row>
    <row r="23" spans="1:15" ht="35.25" customHeight="1" x14ac:dyDescent="0.3">
      <c r="A23" s="669"/>
      <c r="B23" s="670"/>
      <c r="C23" s="670"/>
      <c r="D23" s="670"/>
      <c r="E23" s="670"/>
      <c r="F23" s="671"/>
      <c r="G23" s="671"/>
      <c r="H23" s="671"/>
      <c r="I23" s="671"/>
      <c r="J23" s="671"/>
      <c r="K23" s="671"/>
      <c r="L23" s="671"/>
      <c r="M23" s="671"/>
      <c r="N23" s="671"/>
      <c r="O23" s="671"/>
    </row>
    <row r="24" spans="1:15" ht="32.4" customHeight="1" x14ac:dyDescent="0.3">
      <c r="A24" s="883" t="s">
        <v>83</v>
      </c>
      <c r="B24" s="55"/>
      <c r="C24" s="73" t="s">
        <v>101</v>
      </c>
      <c r="D24" s="55"/>
      <c r="E24" s="55"/>
      <c r="O24" s="328" t="s">
        <v>34</v>
      </c>
    </row>
    <row r="25" spans="1:15" ht="25.8" customHeight="1" x14ac:dyDescent="0.5">
      <c r="A25" s="884"/>
      <c r="B25" s="55"/>
      <c r="C25" s="57" t="s">
        <v>366</v>
      </c>
      <c r="D25" s="55"/>
      <c r="E25" s="55"/>
    </row>
    <row r="26" spans="1:15" ht="25.8" customHeight="1" x14ac:dyDescent="0.5">
      <c r="A26" s="884"/>
      <c r="B26" s="55"/>
      <c r="C26" s="57" t="str">
        <f>"COST (EST.): "&amp;TEXT(SUM(N32:N38),"$0,000.00")</f>
        <v>COST (EST.): $15,899.00</v>
      </c>
      <c r="D26" s="55"/>
      <c r="E26" s="55"/>
    </row>
    <row r="27" spans="1:15" ht="72" customHeight="1" x14ac:dyDescent="0.3">
      <c r="A27" s="884"/>
      <c r="B27" s="55"/>
      <c r="C27" s="55"/>
      <c r="D27" s="55"/>
      <c r="E27" s="55"/>
    </row>
    <row r="28" spans="1:15" ht="72" customHeight="1" x14ac:dyDescent="0.3">
      <c r="A28" s="884"/>
      <c r="B28" s="55"/>
      <c r="C28" s="55"/>
      <c r="D28" s="55"/>
      <c r="E28" s="55"/>
    </row>
    <row r="29" spans="1:15" ht="72" customHeight="1" x14ac:dyDescent="0.3">
      <c r="A29" s="884"/>
      <c r="B29" s="55"/>
      <c r="C29" s="55"/>
      <c r="D29" s="55"/>
      <c r="E29" s="55"/>
    </row>
    <row r="30" spans="1:15" ht="72" customHeight="1" x14ac:dyDescent="0.3">
      <c r="A30" s="884"/>
      <c r="B30" s="55"/>
      <c r="C30" s="55"/>
      <c r="D30" s="55"/>
      <c r="E30" s="55"/>
    </row>
    <row r="31" spans="1:15" s="4" customFormat="1" ht="18" customHeight="1" thickBot="1" x14ac:dyDescent="0.35">
      <c r="A31" s="54"/>
      <c r="B31" s="58"/>
      <c r="C31" s="10" t="s">
        <v>1</v>
      </c>
      <c r="D31" s="5"/>
      <c r="E31" s="62" t="s">
        <v>2</v>
      </c>
      <c r="F31" s="62" t="s">
        <v>3</v>
      </c>
      <c r="G31" s="10" t="s">
        <v>4</v>
      </c>
      <c r="H31" s="10" t="s">
        <v>5</v>
      </c>
      <c r="I31" s="10" t="s">
        <v>6</v>
      </c>
      <c r="J31" s="69" t="s">
        <v>7</v>
      </c>
      <c r="K31" s="10" t="s">
        <v>8</v>
      </c>
      <c r="L31" s="5"/>
      <c r="M31" s="69" t="s">
        <v>264</v>
      </c>
      <c r="N31" s="214" t="s">
        <v>352</v>
      </c>
      <c r="O31" s="10" t="s">
        <v>10</v>
      </c>
    </row>
    <row r="32" spans="1:15" s="8" customFormat="1" ht="34.5" customHeight="1" x14ac:dyDescent="0.3">
      <c r="A32" s="60"/>
      <c r="B32" s="59"/>
      <c r="C32" s="19" t="s">
        <v>13</v>
      </c>
      <c r="D32" s="49" t="s">
        <v>105</v>
      </c>
      <c r="E32" s="65">
        <v>6</v>
      </c>
      <c r="F32" s="66">
        <v>1</v>
      </c>
      <c r="G32" s="25" t="s">
        <v>36</v>
      </c>
      <c r="H32" s="25" t="s">
        <v>36</v>
      </c>
      <c r="I32" s="25" t="s">
        <v>36</v>
      </c>
      <c r="J32" s="71" t="s">
        <v>106</v>
      </c>
      <c r="K32" s="25" t="s">
        <v>30</v>
      </c>
      <c r="L32" s="43"/>
      <c r="M32" s="159">
        <v>1659</v>
      </c>
      <c r="N32" s="159">
        <f t="shared" ref="N32:N33" si="3">ROUNDUP(M32*0.6, 0)</f>
        <v>996</v>
      </c>
      <c r="O32" s="25" t="s">
        <v>270</v>
      </c>
    </row>
    <row r="33" spans="1:15" s="8" customFormat="1" ht="34.5" customHeight="1" x14ac:dyDescent="0.3">
      <c r="A33" s="60"/>
      <c r="B33" s="59"/>
      <c r="C33" s="20" t="s">
        <v>14</v>
      </c>
      <c r="D33" s="49" t="s">
        <v>118</v>
      </c>
      <c r="E33" s="65">
        <v>6</v>
      </c>
      <c r="F33" s="66">
        <v>1</v>
      </c>
      <c r="G33" s="25" t="s">
        <v>123</v>
      </c>
      <c r="H33" s="25" t="s">
        <v>123</v>
      </c>
      <c r="I33" s="25" t="s">
        <v>124</v>
      </c>
      <c r="J33" s="71" t="s">
        <v>119</v>
      </c>
      <c r="K33" s="25" t="s">
        <v>30</v>
      </c>
      <c r="L33" s="43"/>
      <c r="M33" s="159">
        <v>1500</v>
      </c>
      <c r="N33" s="159">
        <f t="shared" si="3"/>
        <v>900</v>
      </c>
      <c r="O33" s="25" t="s">
        <v>274</v>
      </c>
    </row>
    <row r="34" spans="1:15" s="85" customFormat="1" ht="34.5" customHeight="1" x14ac:dyDescent="0.3">
      <c r="A34" s="78"/>
      <c r="B34" s="79"/>
      <c r="C34" s="80" t="s">
        <v>15</v>
      </c>
      <c r="D34" s="81" t="s">
        <v>45</v>
      </c>
      <c r="E34" s="82">
        <v>6</v>
      </c>
      <c r="F34" s="83">
        <v>2</v>
      </c>
      <c r="G34" s="38" t="s">
        <v>50</v>
      </c>
      <c r="H34" s="38" t="s">
        <v>51</v>
      </c>
      <c r="I34" s="38" t="s">
        <v>52</v>
      </c>
      <c r="J34" s="74" t="s">
        <v>58</v>
      </c>
      <c r="K34" s="38" t="s">
        <v>30</v>
      </c>
      <c r="L34" s="84"/>
      <c r="M34" s="160">
        <v>3034.2</v>
      </c>
      <c r="N34" s="159">
        <f t="shared" ref="N34:N35" si="4">ROUNDUP(M34*0.6, 0)</f>
        <v>1821</v>
      </c>
      <c r="O34" s="38" t="s">
        <v>266</v>
      </c>
    </row>
    <row r="35" spans="1:15" s="8" customFormat="1" ht="34.5" customHeight="1" x14ac:dyDescent="0.3">
      <c r="A35" s="60"/>
      <c r="B35" s="59"/>
      <c r="C35" s="20" t="s">
        <v>16</v>
      </c>
      <c r="D35" s="49" t="s">
        <v>47</v>
      </c>
      <c r="E35" s="65">
        <v>6</v>
      </c>
      <c r="F35" s="66">
        <v>2</v>
      </c>
      <c r="G35" s="25" t="s">
        <v>36</v>
      </c>
      <c r="H35" s="25" t="s">
        <v>53</v>
      </c>
      <c r="I35" s="38" t="s">
        <v>54</v>
      </c>
      <c r="J35" s="71" t="s">
        <v>107</v>
      </c>
      <c r="K35" s="77" t="s">
        <v>114</v>
      </c>
      <c r="L35" s="43"/>
      <c r="M35" s="159">
        <v>1604.88</v>
      </c>
      <c r="N35" s="159">
        <f t="shared" si="4"/>
        <v>963</v>
      </c>
      <c r="O35" s="25" t="s">
        <v>267</v>
      </c>
    </row>
    <row r="36" spans="1:15" s="8" customFormat="1" ht="34.5" customHeight="1" x14ac:dyDescent="0.3">
      <c r="A36" s="60"/>
      <c r="B36" s="59"/>
      <c r="C36" s="39" t="s">
        <v>17</v>
      </c>
      <c r="D36" s="49" t="s">
        <v>25</v>
      </c>
      <c r="E36" s="65">
        <v>6</v>
      </c>
      <c r="F36" s="66">
        <v>2</v>
      </c>
      <c r="G36" s="77" t="s">
        <v>43</v>
      </c>
      <c r="H36" s="25" t="s">
        <v>43</v>
      </c>
      <c r="I36" s="38" t="s">
        <v>121</v>
      </c>
      <c r="J36" s="71" t="s">
        <v>28</v>
      </c>
      <c r="K36" s="25" t="s">
        <v>29</v>
      </c>
      <c r="L36" s="43"/>
      <c r="M36" s="159">
        <v>1952.6</v>
      </c>
      <c r="N36" s="159">
        <f t="shared" ref="N36:N38" si="5">ROUNDUP(M36*0.6, 0)</f>
        <v>1172</v>
      </c>
      <c r="O36" s="25" t="s">
        <v>269</v>
      </c>
    </row>
    <row r="37" spans="1:15" s="8" customFormat="1" ht="34.5" customHeight="1" x14ac:dyDescent="0.3">
      <c r="A37" s="60"/>
      <c r="B37" s="59"/>
      <c r="C37" s="39" t="s">
        <v>46</v>
      </c>
      <c r="D37" s="125" t="s">
        <v>23</v>
      </c>
      <c r="E37" s="65">
        <v>6</v>
      </c>
      <c r="F37" s="66">
        <v>2</v>
      </c>
      <c r="G37" s="38" t="s">
        <v>120</v>
      </c>
      <c r="H37" s="38" t="s">
        <v>37</v>
      </c>
      <c r="I37" s="38" t="s">
        <v>121</v>
      </c>
      <c r="J37" s="438" t="s">
        <v>26</v>
      </c>
      <c r="K37" s="25" t="s">
        <v>29</v>
      </c>
      <c r="L37" s="43"/>
      <c r="M37" s="159">
        <v>3552</v>
      </c>
      <c r="N37" s="159">
        <f t="shared" si="5"/>
        <v>2132</v>
      </c>
      <c r="O37" s="25" t="s">
        <v>272</v>
      </c>
    </row>
    <row r="38" spans="1:15" s="8" customFormat="1" ht="34.5" customHeight="1" thickBot="1" x14ac:dyDescent="0.35">
      <c r="A38" s="60"/>
      <c r="B38" s="59"/>
      <c r="C38" s="21" t="s">
        <v>103</v>
      </c>
      <c r="D38" s="439" t="s">
        <v>117</v>
      </c>
      <c r="E38" s="241">
        <v>6</v>
      </c>
      <c r="F38" s="242">
        <v>2</v>
      </c>
      <c r="G38" s="243" t="s">
        <v>122</v>
      </c>
      <c r="H38" s="243" t="s">
        <v>37</v>
      </c>
      <c r="I38" s="243" t="s">
        <v>121</v>
      </c>
      <c r="J38" s="245" t="s">
        <v>116</v>
      </c>
      <c r="K38" s="413" t="s">
        <v>115</v>
      </c>
      <c r="L38" s="339"/>
      <c r="M38" s="162">
        <v>13191</v>
      </c>
      <c r="N38" s="162">
        <f t="shared" si="5"/>
        <v>7915</v>
      </c>
      <c r="O38" s="244" t="s">
        <v>273</v>
      </c>
    </row>
    <row r="39" spans="1:15" s="8" customFormat="1" ht="18" customHeight="1" x14ac:dyDescent="0.3">
      <c r="A39" s="60"/>
      <c r="B39" s="59"/>
      <c r="C39" s="59"/>
      <c r="D39" s="59"/>
      <c r="E39" s="59"/>
      <c r="O39" s="318" t="s">
        <v>385</v>
      </c>
    </row>
    <row r="40" spans="1:15" s="8" customFormat="1" ht="18" customHeight="1" x14ac:dyDescent="0.3">
      <c r="A40" s="60"/>
      <c r="B40" s="59"/>
      <c r="C40" s="59"/>
      <c r="D40" s="59"/>
      <c r="E40" s="59"/>
    </row>
    <row r="41" spans="1:15" s="8" customFormat="1" ht="18" customHeight="1" x14ac:dyDescent="0.3">
      <c r="A41" s="885" t="s">
        <v>32</v>
      </c>
      <c r="B41" s="59"/>
      <c r="C41" s="59"/>
      <c r="D41" s="59"/>
      <c r="E41" s="59"/>
    </row>
    <row r="42" spans="1:15" s="8" customFormat="1" ht="18" customHeight="1" x14ac:dyDescent="0.3">
      <c r="A42" s="885"/>
      <c r="B42" s="59"/>
      <c r="C42" s="59"/>
      <c r="D42" s="59"/>
      <c r="E42" s="59"/>
    </row>
    <row r="43" spans="1:15" s="8" customFormat="1" ht="18" customHeight="1" x14ac:dyDescent="0.3">
      <c r="A43" s="885"/>
      <c r="B43" s="59"/>
      <c r="C43" s="59"/>
      <c r="D43" s="59"/>
      <c r="E43" s="59"/>
    </row>
    <row r="44" spans="1:15" s="8" customFormat="1" ht="18" customHeight="1" thickBot="1" x14ac:dyDescent="0.35">
      <c r="A44" s="885"/>
      <c r="B44" s="59"/>
      <c r="C44" s="59"/>
      <c r="D44" s="59"/>
      <c r="E44" s="59"/>
    </row>
    <row r="45" spans="1:15" ht="35.25" customHeight="1" x14ac:dyDescent="0.3">
      <c r="A45" s="673"/>
      <c r="B45" s="670"/>
      <c r="C45" s="670"/>
      <c r="D45" s="670"/>
      <c r="E45" s="670"/>
      <c r="F45" s="671"/>
      <c r="G45" s="671"/>
      <c r="H45" s="671"/>
      <c r="I45" s="671"/>
      <c r="J45" s="671"/>
      <c r="K45" s="671"/>
      <c r="L45" s="671"/>
      <c r="M45" s="671"/>
      <c r="N45" s="671"/>
      <c r="O45" s="671"/>
    </row>
    <row r="46" spans="1:15" ht="32.4" customHeight="1" x14ac:dyDescent="0.3">
      <c r="A46" s="883" t="s">
        <v>83</v>
      </c>
      <c r="B46" s="55"/>
      <c r="C46" s="56" t="s">
        <v>102</v>
      </c>
      <c r="D46" s="55"/>
      <c r="E46" s="55"/>
      <c r="O46" s="328" t="s">
        <v>34</v>
      </c>
    </row>
    <row r="47" spans="1:15" ht="25.8" customHeight="1" x14ac:dyDescent="0.5">
      <c r="A47" s="884"/>
      <c r="B47" s="55"/>
      <c r="C47" s="57" t="s">
        <v>365</v>
      </c>
      <c r="D47" s="55"/>
      <c r="E47" s="55"/>
    </row>
    <row r="48" spans="1:15" ht="25.8" customHeight="1" x14ac:dyDescent="0.5">
      <c r="A48" s="884"/>
      <c r="B48" s="55"/>
      <c r="C48" s="57" t="str">
        <f>"COST (EST.): "&amp;TEXT(SUM(N54:N58),"$0,000.00")</f>
        <v>COST (EST.): $14,739.00</v>
      </c>
      <c r="D48" s="55"/>
      <c r="E48" s="55"/>
    </row>
    <row r="49" spans="1:15" ht="72" customHeight="1" x14ac:dyDescent="0.3">
      <c r="A49" s="884"/>
      <c r="B49" s="55"/>
      <c r="C49" s="55"/>
      <c r="D49" s="55"/>
      <c r="E49" s="55"/>
    </row>
    <row r="50" spans="1:15" ht="72" customHeight="1" x14ac:dyDescent="0.3">
      <c r="A50" s="884"/>
      <c r="B50" s="55"/>
      <c r="C50" s="55"/>
      <c r="D50" s="55"/>
      <c r="E50" s="55"/>
    </row>
    <row r="51" spans="1:15" ht="72" customHeight="1" x14ac:dyDescent="0.3">
      <c r="A51" s="884"/>
      <c r="B51" s="55"/>
      <c r="C51" s="55"/>
      <c r="D51" s="55"/>
      <c r="E51" s="55"/>
    </row>
    <row r="52" spans="1:15" ht="72" customHeight="1" x14ac:dyDescent="0.3">
      <c r="A52" s="884"/>
      <c r="B52" s="55"/>
      <c r="C52" s="55"/>
      <c r="D52" s="55"/>
      <c r="E52" s="55"/>
    </row>
    <row r="53" spans="1:15" s="4" customFormat="1" ht="18" customHeight="1" thickBot="1" x14ac:dyDescent="0.35">
      <c r="A53" s="54"/>
      <c r="B53" s="58"/>
      <c r="C53" s="10" t="s">
        <v>1</v>
      </c>
      <c r="D53" s="5"/>
      <c r="E53" s="62" t="s">
        <v>2</v>
      </c>
      <c r="F53" s="62" t="s">
        <v>3</v>
      </c>
      <c r="G53" s="10" t="s">
        <v>4</v>
      </c>
      <c r="H53" s="10" t="s">
        <v>5</v>
      </c>
      <c r="I53" s="10" t="s">
        <v>6</v>
      </c>
      <c r="J53" s="69" t="s">
        <v>7</v>
      </c>
      <c r="K53" s="10" t="s">
        <v>8</v>
      </c>
      <c r="L53" s="10"/>
      <c r="M53" s="69" t="s">
        <v>264</v>
      </c>
      <c r="N53" s="214" t="s">
        <v>352</v>
      </c>
      <c r="O53" s="10" t="s">
        <v>10</v>
      </c>
    </row>
    <row r="54" spans="1:15" s="8" customFormat="1" ht="34.5" customHeight="1" x14ac:dyDescent="0.3">
      <c r="A54" s="60"/>
      <c r="B54" s="59"/>
      <c r="C54" s="19" t="s">
        <v>13</v>
      </c>
      <c r="D54" s="49" t="s">
        <v>24</v>
      </c>
      <c r="E54" s="65">
        <v>6</v>
      </c>
      <c r="F54" s="66">
        <v>1</v>
      </c>
      <c r="G54" s="25" t="s">
        <v>130</v>
      </c>
      <c r="H54" s="25" t="s">
        <v>123</v>
      </c>
      <c r="I54" s="25" t="s">
        <v>42</v>
      </c>
      <c r="J54" s="184" t="s">
        <v>364</v>
      </c>
      <c r="K54" s="25" t="s">
        <v>30</v>
      </c>
      <c r="L54" s="25"/>
      <c r="M54" s="159">
        <v>2301.65</v>
      </c>
      <c r="N54" s="158">
        <f>ROUNDUP(M54*0.6, 0)</f>
        <v>1381</v>
      </c>
      <c r="O54" s="77" t="s">
        <v>299</v>
      </c>
    </row>
    <row r="55" spans="1:15" s="8" customFormat="1" ht="34.5" customHeight="1" x14ac:dyDescent="0.3">
      <c r="A55" s="60"/>
      <c r="B55" s="59"/>
      <c r="C55" s="20" t="s">
        <v>14</v>
      </c>
      <c r="D55" s="48" t="s">
        <v>125</v>
      </c>
      <c r="E55" s="63">
        <v>6</v>
      </c>
      <c r="F55" s="64">
        <v>1</v>
      </c>
      <c r="G55" s="23" t="s">
        <v>128</v>
      </c>
      <c r="H55" s="23" t="s">
        <v>40</v>
      </c>
      <c r="I55" s="46" t="s">
        <v>129</v>
      </c>
      <c r="J55" s="99" t="s">
        <v>363</v>
      </c>
      <c r="K55" s="23" t="s">
        <v>30</v>
      </c>
      <c r="L55" s="23"/>
      <c r="M55" s="158">
        <v>3597.73</v>
      </c>
      <c r="N55" s="158">
        <f>ROUNDUP(M55*0.6, 0)</f>
        <v>2159</v>
      </c>
      <c r="O55" s="23" t="s">
        <v>275</v>
      </c>
    </row>
    <row r="56" spans="1:15" s="8" customFormat="1" ht="34.5" customHeight="1" x14ac:dyDescent="0.3">
      <c r="A56" s="60"/>
      <c r="B56" s="59"/>
      <c r="C56" s="20" t="s">
        <v>15</v>
      </c>
      <c r="D56" s="49" t="s">
        <v>47</v>
      </c>
      <c r="E56" s="65">
        <v>6</v>
      </c>
      <c r="F56" s="66">
        <v>6</v>
      </c>
      <c r="G56" s="25" t="s">
        <v>36</v>
      </c>
      <c r="H56" s="25" t="s">
        <v>53</v>
      </c>
      <c r="I56" s="38" t="s">
        <v>54</v>
      </c>
      <c r="J56" s="71" t="s">
        <v>107</v>
      </c>
      <c r="K56" s="25" t="s">
        <v>114</v>
      </c>
      <c r="L56" s="25"/>
      <c r="M56" s="159">
        <v>4814.6400000000003</v>
      </c>
      <c r="N56" s="158">
        <f>ROUNDUP(M56*0.6, 0)</f>
        <v>2889</v>
      </c>
      <c r="O56" s="25" t="s">
        <v>267</v>
      </c>
    </row>
    <row r="57" spans="1:15" s="8" customFormat="1" ht="34.5" customHeight="1" x14ac:dyDescent="0.3">
      <c r="A57" s="60"/>
      <c r="B57" s="59"/>
      <c r="C57" s="20" t="s">
        <v>16</v>
      </c>
      <c r="D57" s="49" t="s">
        <v>126</v>
      </c>
      <c r="E57" s="65">
        <v>6</v>
      </c>
      <c r="F57" s="66">
        <v>6</v>
      </c>
      <c r="G57" s="25" t="s">
        <v>36</v>
      </c>
      <c r="H57" s="25" t="s">
        <v>36</v>
      </c>
      <c r="I57" s="38" t="s">
        <v>121</v>
      </c>
      <c r="J57" s="71" t="s">
        <v>127</v>
      </c>
      <c r="K57" s="25" t="s">
        <v>63</v>
      </c>
      <c r="L57" s="25"/>
      <c r="M57" s="159">
        <v>6228</v>
      </c>
      <c r="N57" s="158">
        <f>ROUNDUP(M57*0.6, 0)</f>
        <v>3737</v>
      </c>
      <c r="O57" s="25" t="s">
        <v>277</v>
      </c>
    </row>
    <row r="58" spans="1:15" s="8" customFormat="1" ht="34.5" customHeight="1" thickBot="1" x14ac:dyDescent="0.35">
      <c r="A58" s="60"/>
      <c r="B58" s="59"/>
      <c r="C58" s="21" t="s">
        <v>17</v>
      </c>
      <c r="D58" s="440" t="s">
        <v>71</v>
      </c>
      <c r="E58" s="67">
        <v>6</v>
      </c>
      <c r="F58" s="68">
        <v>1</v>
      </c>
      <c r="G58" s="27" t="s">
        <v>36</v>
      </c>
      <c r="H58" s="27" t="s">
        <v>36</v>
      </c>
      <c r="I58" s="27" t="s">
        <v>36</v>
      </c>
      <c r="J58" s="93" t="s">
        <v>73</v>
      </c>
      <c r="K58" s="27" t="s">
        <v>36</v>
      </c>
      <c r="L58" s="27"/>
      <c r="M58" s="161">
        <v>7620.91</v>
      </c>
      <c r="N58" s="162">
        <f>ROUNDUP(M58*0.6, 0)</f>
        <v>4573</v>
      </c>
      <c r="O58" s="27" t="s">
        <v>278</v>
      </c>
    </row>
    <row r="59" spans="1:15" s="8" customFormat="1" ht="18" customHeight="1" x14ac:dyDescent="0.3">
      <c r="A59" s="60"/>
      <c r="B59" s="59"/>
      <c r="C59" s="59"/>
      <c r="D59" s="59"/>
      <c r="E59" s="59"/>
      <c r="O59" s="318" t="s">
        <v>385</v>
      </c>
    </row>
    <row r="60" spans="1:15" s="8" customFormat="1" ht="18" customHeight="1" x14ac:dyDescent="0.3">
      <c r="A60" s="60"/>
      <c r="B60" s="59"/>
      <c r="C60" s="59"/>
      <c r="D60" s="59"/>
      <c r="E60" s="59"/>
    </row>
    <row r="61" spans="1:15" s="8" customFormat="1" ht="18" customHeight="1" x14ac:dyDescent="0.3">
      <c r="A61" s="60"/>
      <c r="B61" s="59"/>
      <c r="C61" s="59"/>
      <c r="D61" s="59"/>
      <c r="E61" s="59"/>
    </row>
    <row r="62" spans="1:15" s="8" customFormat="1" ht="18" customHeight="1" x14ac:dyDescent="0.3">
      <c r="A62" s="60"/>
      <c r="B62" s="59"/>
      <c r="C62" s="59"/>
      <c r="D62" s="394"/>
      <c r="E62" s="395"/>
      <c r="F62" s="370"/>
      <c r="G62" s="91"/>
      <c r="H62" s="91"/>
      <c r="I62" s="372"/>
      <c r="J62" s="396"/>
      <c r="K62" s="91"/>
      <c r="L62" s="91"/>
      <c r="M62" s="373"/>
      <c r="N62" s="373"/>
      <c r="O62" s="91"/>
    </row>
    <row r="63" spans="1:15" s="8" customFormat="1" ht="18" customHeight="1" x14ac:dyDescent="0.3">
      <c r="A63" s="60"/>
      <c r="B63" s="59"/>
      <c r="C63" s="59"/>
      <c r="D63" s="394"/>
      <c r="E63" s="395"/>
      <c r="F63" s="370"/>
      <c r="G63" s="91"/>
      <c r="H63" s="91"/>
      <c r="I63" s="91"/>
      <c r="J63" s="396"/>
      <c r="K63" s="91"/>
      <c r="L63" s="91"/>
      <c r="M63" s="373"/>
      <c r="N63" s="373"/>
      <c r="O63" s="91"/>
    </row>
    <row r="64" spans="1:15" s="8" customFormat="1" ht="18" customHeight="1" x14ac:dyDescent="0.3">
      <c r="A64" s="60"/>
      <c r="B64" s="59"/>
      <c r="C64" s="59"/>
      <c r="D64" s="59"/>
      <c r="E64" s="59"/>
    </row>
    <row r="65" spans="1:15" s="8" customFormat="1" ht="18" customHeight="1" x14ac:dyDescent="0.3">
      <c r="A65" s="885" t="s">
        <v>35</v>
      </c>
      <c r="B65" s="59"/>
      <c r="C65" s="59"/>
      <c r="D65" s="59"/>
      <c r="E65" s="59"/>
    </row>
    <row r="66" spans="1:15" s="8" customFormat="1" ht="18" customHeight="1" x14ac:dyDescent="0.3">
      <c r="A66" s="885"/>
      <c r="B66" s="59"/>
      <c r="C66" s="59"/>
      <c r="D66" s="59"/>
      <c r="E66" s="59"/>
    </row>
    <row r="67" spans="1:15" s="8" customFormat="1" ht="18" customHeight="1" x14ac:dyDescent="0.3">
      <c r="A67" s="885"/>
      <c r="B67" s="59"/>
      <c r="C67" s="59"/>
      <c r="D67" s="59"/>
      <c r="E67" s="59"/>
    </row>
    <row r="68" spans="1:15" s="8" customFormat="1" ht="18" customHeight="1" thickBot="1" x14ac:dyDescent="0.35">
      <c r="A68" s="885"/>
      <c r="B68" s="59"/>
      <c r="C68" s="59"/>
      <c r="D68" s="59"/>
      <c r="E68" s="59"/>
    </row>
    <row r="69" spans="1:15" ht="18" customHeight="1" x14ac:dyDescent="0.3">
      <c r="A69" s="672"/>
      <c r="B69" s="671"/>
      <c r="C69" s="671"/>
      <c r="D69" s="671"/>
      <c r="E69" s="671"/>
      <c r="F69" s="671"/>
      <c r="G69" s="671"/>
      <c r="H69" s="671"/>
      <c r="I69" s="671"/>
      <c r="J69" s="671"/>
      <c r="K69" s="671"/>
      <c r="L69" s="671"/>
      <c r="M69" s="671"/>
      <c r="N69" s="671"/>
      <c r="O69" s="671"/>
    </row>
  </sheetData>
  <sheetProtection sheet="1" objects="1" scenarios="1" selectLockedCells="1"/>
  <mergeCells count="6">
    <mergeCell ref="A65:A68"/>
    <mergeCell ref="A2:A8"/>
    <mergeCell ref="A19:A22"/>
    <mergeCell ref="A24:A30"/>
    <mergeCell ref="A41:A44"/>
    <mergeCell ref="A46:A52"/>
  </mergeCells>
  <conditionalFormatting sqref="A1:XFD8 A10:XFD30 A9:M9 O9:XFD9 A32:XFD52 A31:M31 O31:XFD31 A54:XFD1048576 A53:M53 O53:XFD53">
    <cfRule type="cellIs" dxfId="11" priority="4" operator="equal">
      <formula>"N/A"</formula>
    </cfRule>
  </conditionalFormatting>
  <conditionalFormatting sqref="N9">
    <cfRule type="cellIs" dxfId="10" priority="3" operator="equal">
      <formula>"N/A"</formula>
    </cfRule>
  </conditionalFormatting>
  <conditionalFormatting sqref="N31">
    <cfRule type="cellIs" dxfId="9" priority="2" operator="equal">
      <formula>"N/A"</formula>
    </cfRule>
  </conditionalFormatting>
  <conditionalFormatting sqref="N53">
    <cfRule type="cellIs" dxfId="8" priority="1" operator="equal">
      <formula>"N/A"</formula>
    </cfRule>
  </conditionalFormatting>
  <hyperlinks>
    <hyperlink ref="O2" location="ToC!A1" display="Return to Table of Contents"/>
    <hyperlink ref="O24" location="ToC!A1" display="Return to Table of Contents"/>
    <hyperlink ref="O46" location="ToC!A1" display="Return to Table of Contents"/>
  </hyperlinks>
  <printOptions verticalCentered="1"/>
  <pageMargins left="0.5" right="0.5" top="0" bottom="0" header="0.3" footer="0.3"/>
  <pageSetup paperSize="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9FF"/>
  </sheetPr>
  <dimension ref="A1:O107"/>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50"/>
      <c r="B1" s="13"/>
      <c r="C1" s="13"/>
      <c r="D1" s="13"/>
      <c r="E1" s="13"/>
    </row>
    <row r="2" spans="1:15" ht="32.4" customHeight="1" x14ac:dyDescent="0.3">
      <c r="A2" s="887" t="s">
        <v>11</v>
      </c>
      <c r="B2" s="13"/>
      <c r="C2" s="34" t="s">
        <v>250</v>
      </c>
      <c r="D2" s="13"/>
      <c r="E2" s="13"/>
      <c r="O2" s="328" t="s">
        <v>34</v>
      </c>
    </row>
    <row r="3" spans="1:15" ht="25.8" customHeight="1" x14ac:dyDescent="0.5">
      <c r="A3" s="887"/>
      <c r="B3" s="13"/>
      <c r="C3" s="35" t="s">
        <v>374</v>
      </c>
      <c r="D3" s="13"/>
      <c r="E3" s="13"/>
    </row>
    <row r="4" spans="1:15" ht="25.8" customHeight="1" x14ac:dyDescent="0.5">
      <c r="A4" s="887"/>
      <c r="B4" s="13"/>
      <c r="C4" s="35" t="str">
        <f>"COST (EST.): "&amp;TEXT(SUM(N10:N13),"$0,000.00")</f>
        <v>COST (EST.): $21,503.00</v>
      </c>
      <c r="D4" s="13"/>
      <c r="E4" s="13"/>
    </row>
    <row r="5" spans="1:15" ht="72" customHeight="1" x14ac:dyDescent="0.3">
      <c r="A5" s="887"/>
      <c r="B5" s="13"/>
      <c r="C5" s="13"/>
      <c r="D5" s="13"/>
      <c r="E5" s="13"/>
    </row>
    <row r="6" spans="1:15" ht="72" customHeight="1" x14ac:dyDescent="0.3">
      <c r="A6" s="887"/>
      <c r="B6" s="13"/>
      <c r="C6" s="13"/>
      <c r="D6" s="13"/>
      <c r="E6" s="13"/>
    </row>
    <row r="7" spans="1:15" ht="72" customHeight="1" x14ac:dyDescent="0.3">
      <c r="A7" s="887"/>
      <c r="B7" s="13"/>
      <c r="C7" s="13"/>
      <c r="D7" s="13"/>
      <c r="E7" s="13"/>
    </row>
    <row r="8" spans="1:15" ht="72" customHeight="1" x14ac:dyDescent="0.3">
      <c r="A8" s="887"/>
      <c r="B8" s="13"/>
      <c r="C8" s="13"/>
      <c r="D8" s="13"/>
      <c r="E8" s="13"/>
    </row>
    <row r="9" spans="1:15" s="4" customFormat="1" ht="18" customHeight="1" thickBot="1" x14ac:dyDescent="0.35">
      <c r="A9" s="11"/>
      <c r="B9" s="16"/>
      <c r="C9" s="198" t="s">
        <v>1</v>
      </c>
      <c r="D9" s="199"/>
      <c r="E9" s="218" t="s">
        <v>2</v>
      </c>
      <c r="F9" s="218" t="s">
        <v>3</v>
      </c>
      <c r="G9" s="198" t="s">
        <v>4</v>
      </c>
      <c r="H9" s="198" t="s">
        <v>5</v>
      </c>
      <c r="I9" s="198" t="s">
        <v>6</v>
      </c>
      <c r="J9" s="219" t="s">
        <v>7</v>
      </c>
      <c r="K9" s="198" t="s">
        <v>8</v>
      </c>
      <c r="L9" s="199"/>
      <c r="M9" s="219" t="s">
        <v>283</v>
      </c>
      <c r="N9" s="219" t="s">
        <v>352</v>
      </c>
      <c r="O9" s="198" t="s">
        <v>10</v>
      </c>
    </row>
    <row r="10" spans="1:15" s="8" customFormat="1" ht="34.5" customHeight="1" x14ac:dyDescent="0.3">
      <c r="A10" s="12"/>
      <c r="B10" s="15"/>
      <c r="C10" s="19" t="s">
        <v>13</v>
      </c>
      <c r="D10" s="48" t="s">
        <v>251</v>
      </c>
      <c r="E10" s="31" t="s">
        <v>18</v>
      </c>
      <c r="F10" s="28">
        <v>22</v>
      </c>
      <c r="G10" s="37" t="s">
        <v>36</v>
      </c>
      <c r="H10" s="23" t="s">
        <v>36</v>
      </c>
      <c r="I10" s="37" t="s">
        <v>36</v>
      </c>
      <c r="J10" s="22" t="s">
        <v>252</v>
      </c>
      <c r="K10" s="23" t="s">
        <v>29</v>
      </c>
      <c r="L10" s="23"/>
      <c r="M10" s="185">
        <v>7150</v>
      </c>
      <c r="N10" s="185">
        <f>ROUNDUP(M10*0.6, 0)</f>
        <v>4290</v>
      </c>
      <c r="O10" s="23" t="s">
        <v>36</v>
      </c>
    </row>
    <row r="11" spans="1:15" s="8" customFormat="1" ht="34.5" customHeight="1" x14ac:dyDescent="0.3">
      <c r="A11" s="12"/>
      <c r="B11" s="15"/>
      <c r="C11" s="20" t="s">
        <v>14</v>
      </c>
      <c r="D11" s="49" t="s">
        <v>24</v>
      </c>
      <c r="E11" s="32">
        <v>6</v>
      </c>
      <c r="F11" s="29">
        <v>2</v>
      </c>
      <c r="G11" s="25" t="s">
        <v>254</v>
      </c>
      <c r="H11" s="25" t="s">
        <v>199</v>
      </c>
      <c r="I11" s="25" t="s">
        <v>42</v>
      </c>
      <c r="J11" s="153" t="s">
        <v>253</v>
      </c>
      <c r="K11" s="25" t="s">
        <v>30</v>
      </c>
      <c r="L11" s="25"/>
      <c r="M11" s="186">
        <v>10880</v>
      </c>
      <c r="N11" s="186">
        <f>ROUNDUP(M11*0.6, 0)</f>
        <v>6528</v>
      </c>
      <c r="O11" s="25" t="s">
        <v>304</v>
      </c>
    </row>
    <row r="12" spans="1:15" s="8" customFormat="1" ht="34.5" customHeight="1" x14ac:dyDescent="0.3">
      <c r="A12" s="12"/>
      <c r="B12" s="15"/>
      <c r="C12" s="20" t="s">
        <v>15</v>
      </c>
      <c r="D12" s="49" t="s">
        <v>23</v>
      </c>
      <c r="E12" s="32">
        <v>6</v>
      </c>
      <c r="F12" s="29">
        <v>8</v>
      </c>
      <c r="G12" s="38" t="s">
        <v>120</v>
      </c>
      <c r="H12" s="25" t="s">
        <v>37</v>
      </c>
      <c r="I12" s="38" t="s">
        <v>121</v>
      </c>
      <c r="J12" s="24" t="s">
        <v>26</v>
      </c>
      <c r="K12" s="25" t="s">
        <v>29</v>
      </c>
      <c r="L12" s="25"/>
      <c r="M12" s="186">
        <v>14208</v>
      </c>
      <c r="N12" s="186">
        <f>ROUNDUP(M12*0.6, 0)</f>
        <v>8525</v>
      </c>
      <c r="O12" s="25" t="s">
        <v>272</v>
      </c>
    </row>
    <row r="13" spans="1:15" s="8" customFormat="1" ht="34.5" customHeight="1" thickBot="1" x14ac:dyDescent="0.35">
      <c r="A13" s="12"/>
      <c r="B13" s="15"/>
      <c r="C13" s="21" t="s">
        <v>16</v>
      </c>
      <c r="D13" s="50" t="s">
        <v>21</v>
      </c>
      <c r="E13" s="33">
        <v>6</v>
      </c>
      <c r="F13" s="30">
        <v>6</v>
      </c>
      <c r="G13" s="27" t="s">
        <v>36</v>
      </c>
      <c r="H13" s="27" t="s">
        <v>36</v>
      </c>
      <c r="I13" s="27" t="s">
        <v>36</v>
      </c>
      <c r="J13" s="26" t="s">
        <v>22</v>
      </c>
      <c r="K13" s="27" t="s">
        <v>30</v>
      </c>
      <c r="L13" s="27"/>
      <c r="M13" s="187">
        <v>3600</v>
      </c>
      <c r="N13" s="188">
        <f>ROUNDUP(M13*0.6, 0)</f>
        <v>2160</v>
      </c>
      <c r="O13" s="27" t="s">
        <v>271</v>
      </c>
    </row>
    <row r="14" spans="1:15" s="8" customFormat="1" ht="18" customHeight="1" x14ac:dyDescent="0.3">
      <c r="A14" s="12"/>
      <c r="B14" s="15"/>
      <c r="C14" s="15"/>
      <c r="D14" s="15"/>
      <c r="E14" s="15"/>
      <c r="O14" s="318" t="s">
        <v>385</v>
      </c>
    </row>
    <row r="15" spans="1:15" s="8" customFormat="1" ht="18" customHeight="1" x14ac:dyDescent="0.3">
      <c r="A15" s="12"/>
      <c r="B15" s="15"/>
      <c r="C15" s="15"/>
      <c r="D15" s="15"/>
      <c r="E15" s="15"/>
      <c r="O15" s="163" t="s">
        <v>389</v>
      </c>
    </row>
    <row r="16" spans="1:15" s="8" customFormat="1" ht="18" customHeight="1" x14ac:dyDescent="0.3">
      <c r="A16" s="12"/>
      <c r="B16" s="15"/>
      <c r="C16" s="15"/>
      <c r="D16" s="15"/>
      <c r="E16" s="15"/>
    </row>
    <row r="17" spans="1:15" s="8" customFormat="1" ht="18" customHeight="1" x14ac:dyDescent="0.3">
      <c r="A17" s="12"/>
      <c r="B17" s="15"/>
      <c r="C17" s="15"/>
      <c r="D17" s="15"/>
      <c r="E17" s="15"/>
    </row>
    <row r="18" spans="1:15" s="8" customFormat="1" ht="18" customHeight="1" x14ac:dyDescent="0.3">
      <c r="A18" s="12"/>
      <c r="B18" s="15"/>
      <c r="C18" s="15"/>
      <c r="D18" s="15"/>
      <c r="E18" s="15"/>
    </row>
    <row r="19" spans="1:15" s="8" customFormat="1" ht="18" customHeight="1" x14ac:dyDescent="0.3">
      <c r="A19" s="12"/>
      <c r="B19" s="15"/>
      <c r="C19" s="15"/>
      <c r="D19" s="15"/>
      <c r="E19" s="15"/>
    </row>
    <row r="20" spans="1:15" s="8" customFormat="1" ht="18" customHeight="1" x14ac:dyDescent="0.3">
      <c r="A20" s="12"/>
      <c r="B20" s="15"/>
      <c r="C20" s="15"/>
      <c r="D20" s="15"/>
      <c r="E20" s="15"/>
    </row>
    <row r="21" spans="1:15" s="8" customFormat="1" ht="18" customHeight="1" x14ac:dyDescent="0.3">
      <c r="A21" s="12"/>
      <c r="B21" s="15"/>
      <c r="C21" s="15"/>
      <c r="D21" s="15"/>
      <c r="E21" s="15"/>
    </row>
    <row r="22" spans="1:15" s="8" customFormat="1" ht="18" customHeight="1" x14ac:dyDescent="0.3">
      <c r="A22" s="888" t="s">
        <v>0</v>
      </c>
      <c r="B22" s="15"/>
      <c r="C22" s="15"/>
      <c r="D22" s="15"/>
      <c r="E22" s="15"/>
    </row>
    <row r="23" spans="1:15" s="8" customFormat="1" ht="18" customHeight="1" x14ac:dyDescent="0.3">
      <c r="A23" s="888"/>
      <c r="B23" s="15"/>
      <c r="C23" s="15"/>
      <c r="D23" s="15"/>
      <c r="E23" s="15"/>
    </row>
    <row r="24" spans="1:15" s="8" customFormat="1" ht="18" customHeight="1" x14ac:dyDescent="0.3">
      <c r="A24" s="888"/>
      <c r="B24" s="15"/>
      <c r="C24" s="15"/>
      <c r="D24" s="15"/>
      <c r="E24" s="15"/>
    </row>
    <row r="25" spans="1:15" s="8" customFormat="1" ht="18" customHeight="1" thickBot="1" x14ac:dyDescent="0.35">
      <c r="A25" s="888"/>
      <c r="B25" s="15"/>
      <c r="C25" s="15"/>
      <c r="D25" s="15"/>
      <c r="E25" s="15"/>
    </row>
    <row r="26" spans="1:15" ht="35.25" customHeight="1" x14ac:dyDescent="0.3">
      <c r="A26" s="674"/>
      <c r="B26" s="675"/>
      <c r="C26" s="675"/>
      <c r="D26" s="675"/>
      <c r="E26" s="675"/>
      <c r="F26" s="676"/>
      <c r="G26" s="676"/>
      <c r="H26" s="676"/>
      <c r="I26" s="676"/>
      <c r="J26" s="676"/>
      <c r="K26" s="676"/>
      <c r="L26" s="676"/>
      <c r="M26" s="676"/>
      <c r="N26" s="676"/>
      <c r="O26" s="676"/>
    </row>
    <row r="27" spans="1:15" ht="32.4" customHeight="1" x14ac:dyDescent="0.3">
      <c r="A27" s="887" t="s">
        <v>11</v>
      </c>
      <c r="B27" s="13"/>
      <c r="C27" s="34" t="s">
        <v>255</v>
      </c>
      <c r="D27" s="13"/>
      <c r="E27" s="13"/>
      <c r="O27" s="328" t="s">
        <v>34</v>
      </c>
    </row>
    <row r="28" spans="1:15" ht="25.8" customHeight="1" x14ac:dyDescent="0.5">
      <c r="A28" s="887"/>
      <c r="B28" s="13"/>
      <c r="C28" s="35" t="s">
        <v>375</v>
      </c>
      <c r="D28" s="13"/>
      <c r="E28" s="13"/>
    </row>
    <row r="29" spans="1:15" ht="25.8" customHeight="1" x14ac:dyDescent="0.5">
      <c r="A29" s="887"/>
      <c r="B29" s="13"/>
      <c r="C29" s="35" t="str">
        <f>"COST (EST.): "&amp;TEXT(SUM(N35:N36),"$0,000.00")</f>
        <v>COST (EST.): $6,341.00</v>
      </c>
      <c r="D29" s="13"/>
      <c r="E29" s="13"/>
    </row>
    <row r="30" spans="1:15" ht="72" customHeight="1" x14ac:dyDescent="0.3">
      <c r="A30" s="887"/>
      <c r="B30" s="13"/>
      <c r="C30" s="13"/>
      <c r="D30" s="13"/>
      <c r="E30" s="13"/>
    </row>
    <row r="31" spans="1:15" ht="72" customHeight="1" x14ac:dyDescent="0.3">
      <c r="A31" s="887"/>
      <c r="B31" s="13"/>
      <c r="C31" s="13"/>
      <c r="D31" s="13"/>
      <c r="E31" s="13"/>
    </row>
    <row r="32" spans="1:15" ht="72" customHeight="1" x14ac:dyDescent="0.3">
      <c r="A32" s="887"/>
      <c r="B32" s="13"/>
      <c r="C32" s="13"/>
      <c r="D32" s="13"/>
      <c r="E32" s="13"/>
    </row>
    <row r="33" spans="1:15" ht="72" customHeight="1" x14ac:dyDescent="0.3">
      <c r="A33" s="887"/>
      <c r="B33" s="13"/>
      <c r="C33" s="13"/>
      <c r="D33" s="13"/>
      <c r="E33" s="13"/>
    </row>
    <row r="34" spans="1:15" s="4" customFormat="1" ht="18" customHeight="1" thickBot="1" x14ac:dyDescent="0.35">
      <c r="A34" s="11"/>
      <c r="B34" s="16"/>
      <c r="C34" s="198" t="s">
        <v>1</v>
      </c>
      <c r="D34" s="199"/>
      <c r="E34" s="218" t="s">
        <v>2</v>
      </c>
      <c r="F34" s="218" t="s">
        <v>3</v>
      </c>
      <c r="G34" s="198" t="s">
        <v>4</v>
      </c>
      <c r="H34" s="198" t="s">
        <v>5</v>
      </c>
      <c r="I34" s="198" t="s">
        <v>6</v>
      </c>
      <c r="J34" s="219" t="s">
        <v>7</v>
      </c>
      <c r="K34" s="198" t="s">
        <v>8</v>
      </c>
      <c r="L34" s="199"/>
      <c r="M34" s="220" t="s">
        <v>283</v>
      </c>
      <c r="N34" s="219" t="s">
        <v>352</v>
      </c>
      <c r="O34" s="198" t="s">
        <v>10</v>
      </c>
    </row>
    <row r="35" spans="1:15" s="8" customFormat="1" ht="34.5" customHeight="1" x14ac:dyDescent="0.3">
      <c r="A35" s="12"/>
      <c r="B35" s="15"/>
      <c r="C35" s="19" t="s">
        <v>13</v>
      </c>
      <c r="D35" s="94" t="s">
        <v>251</v>
      </c>
      <c r="E35" s="31" t="s">
        <v>18</v>
      </c>
      <c r="F35" s="28">
        <v>12</v>
      </c>
      <c r="G35" s="46" t="s">
        <v>36</v>
      </c>
      <c r="H35" s="46" t="s">
        <v>36</v>
      </c>
      <c r="I35" s="46" t="s">
        <v>36</v>
      </c>
      <c r="J35" s="47" t="s">
        <v>252</v>
      </c>
      <c r="K35" s="41" t="s">
        <v>29</v>
      </c>
      <c r="L35" s="41"/>
      <c r="M35" s="185">
        <v>3900</v>
      </c>
      <c r="N35" s="185">
        <f>ROUNDUP(M35*0.6, 0)</f>
        <v>2340</v>
      </c>
      <c r="O35" s="23" t="s">
        <v>36</v>
      </c>
    </row>
    <row r="36" spans="1:15" s="8" customFormat="1" ht="34.5" customHeight="1" thickBot="1" x14ac:dyDescent="0.35">
      <c r="A36" s="12"/>
      <c r="B36" s="15"/>
      <c r="C36" s="21" t="s">
        <v>14</v>
      </c>
      <c r="D36" s="50" t="s">
        <v>24</v>
      </c>
      <c r="E36" s="33">
        <v>6</v>
      </c>
      <c r="F36" s="30">
        <v>1</v>
      </c>
      <c r="G36" s="27" t="s">
        <v>258</v>
      </c>
      <c r="H36" s="27" t="s">
        <v>199</v>
      </c>
      <c r="I36" s="27" t="s">
        <v>42</v>
      </c>
      <c r="J36" s="154" t="s">
        <v>259</v>
      </c>
      <c r="K36" s="76" t="s">
        <v>30</v>
      </c>
      <c r="L36" s="45"/>
      <c r="M36" s="187">
        <v>6667</v>
      </c>
      <c r="N36" s="187">
        <f>ROUNDUP(M36*0.6, 0)</f>
        <v>4001</v>
      </c>
      <c r="O36" s="27" t="s">
        <v>305</v>
      </c>
    </row>
    <row r="37" spans="1:15" s="8" customFormat="1" ht="18" customHeight="1" x14ac:dyDescent="0.3">
      <c r="A37" s="12"/>
      <c r="B37" s="15"/>
      <c r="C37" s="15"/>
      <c r="D37" s="15"/>
      <c r="E37" s="15"/>
      <c r="O37" s="318" t="s">
        <v>385</v>
      </c>
    </row>
    <row r="38" spans="1:15" s="8" customFormat="1" ht="18" customHeight="1" x14ac:dyDescent="0.3">
      <c r="A38" s="12"/>
      <c r="B38" s="15"/>
      <c r="C38" s="15"/>
      <c r="D38" s="15"/>
      <c r="E38" s="15"/>
      <c r="O38" s="163" t="s">
        <v>389</v>
      </c>
    </row>
    <row r="39" spans="1:15" s="8" customFormat="1" ht="18" customHeight="1" x14ac:dyDescent="0.3">
      <c r="A39" s="12"/>
      <c r="B39" s="15"/>
      <c r="C39" s="15"/>
      <c r="D39" s="15"/>
      <c r="E39" s="15"/>
    </row>
    <row r="40" spans="1:15" s="8" customFormat="1" ht="18" customHeight="1" x14ac:dyDescent="0.3">
      <c r="A40" s="12"/>
      <c r="B40" s="15"/>
      <c r="C40" s="15"/>
      <c r="D40" s="15"/>
      <c r="E40" s="15"/>
    </row>
    <row r="41" spans="1:15" s="8" customFormat="1" ht="18" customHeight="1" x14ac:dyDescent="0.3">
      <c r="A41" s="12"/>
      <c r="B41" s="15"/>
      <c r="C41" s="15"/>
      <c r="D41" s="15"/>
      <c r="E41" s="15"/>
    </row>
    <row r="42" spans="1:15" s="8" customFormat="1" ht="18" customHeight="1" x14ac:dyDescent="0.3">
      <c r="A42" s="12"/>
      <c r="B42" s="15"/>
      <c r="C42" s="15"/>
      <c r="D42" s="15"/>
      <c r="E42" s="15"/>
    </row>
    <row r="43" spans="1:15" s="8" customFormat="1" ht="18" customHeight="1" x14ac:dyDescent="0.3">
      <c r="A43" s="12"/>
      <c r="B43" s="15"/>
      <c r="C43" s="15"/>
      <c r="D43" s="15"/>
      <c r="E43" s="15"/>
    </row>
    <row r="44" spans="1:15" s="8" customFormat="1" ht="18" customHeight="1" x14ac:dyDescent="0.3">
      <c r="A44" s="12"/>
      <c r="B44" s="15"/>
      <c r="C44" s="15"/>
      <c r="D44" s="15"/>
      <c r="E44" s="15"/>
    </row>
    <row r="45" spans="1:15" s="8" customFormat="1" ht="18" customHeight="1" x14ac:dyDescent="0.3">
      <c r="A45" s="12"/>
      <c r="B45" s="15"/>
      <c r="C45" s="15"/>
      <c r="D45" s="15"/>
      <c r="E45" s="15"/>
    </row>
    <row r="46" spans="1:15" s="8" customFormat="1" ht="18" customHeight="1" x14ac:dyDescent="0.3">
      <c r="A46" s="12"/>
      <c r="B46" s="15"/>
      <c r="C46" s="15"/>
      <c r="D46" s="15"/>
      <c r="E46" s="15"/>
    </row>
    <row r="47" spans="1:15" s="8" customFormat="1" ht="18" customHeight="1" x14ac:dyDescent="0.3">
      <c r="A47" s="12"/>
      <c r="B47" s="15"/>
      <c r="C47" s="15"/>
      <c r="D47" s="15"/>
      <c r="E47" s="15"/>
    </row>
    <row r="48" spans="1:15" s="8" customFormat="1" ht="18" customHeight="1" x14ac:dyDescent="0.3">
      <c r="A48" s="888" t="s">
        <v>32</v>
      </c>
      <c r="B48" s="15"/>
      <c r="C48" s="15"/>
      <c r="D48" s="15"/>
      <c r="E48" s="15"/>
    </row>
    <row r="49" spans="1:15" s="8" customFormat="1" ht="18" customHeight="1" x14ac:dyDescent="0.3">
      <c r="A49" s="888"/>
      <c r="B49" s="15"/>
      <c r="C49" s="15"/>
      <c r="D49" s="15"/>
      <c r="E49" s="15"/>
    </row>
    <row r="50" spans="1:15" s="8" customFormat="1" ht="18" customHeight="1" x14ac:dyDescent="0.3">
      <c r="A50" s="888"/>
      <c r="B50" s="15"/>
      <c r="C50" s="15"/>
      <c r="D50" s="15"/>
      <c r="E50" s="15"/>
    </row>
    <row r="51" spans="1:15" s="8" customFormat="1" ht="18" customHeight="1" x14ac:dyDescent="0.3">
      <c r="A51" s="888"/>
      <c r="B51" s="15"/>
      <c r="C51" s="15"/>
      <c r="D51" s="15"/>
      <c r="E51" s="15"/>
    </row>
    <row r="52" spans="1:15" s="8" customFormat="1" ht="18" customHeight="1" thickBot="1" x14ac:dyDescent="0.35">
      <c r="A52" s="888"/>
      <c r="B52" s="15"/>
      <c r="C52" s="15"/>
      <c r="D52" s="15"/>
      <c r="E52" s="15"/>
    </row>
    <row r="53" spans="1:15" ht="35.25" customHeight="1" x14ac:dyDescent="0.3">
      <c r="A53" s="674"/>
      <c r="B53" s="675"/>
      <c r="C53" s="675"/>
      <c r="D53" s="675"/>
      <c r="E53" s="675"/>
      <c r="F53" s="676"/>
      <c r="G53" s="676"/>
      <c r="H53" s="676"/>
      <c r="I53" s="676"/>
      <c r="J53" s="676"/>
      <c r="K53" s="676"/>
      <c r="L53" s="676"/>
      <c r="M53" s="676"/>
      <c r="N53" s="676"/>
      <c r="O53" s="676"/>
    </row>
    <row r="54" spans="1:15" ht="32.4" customHeight="1" x14ac:dyDescent="0.3">
      <c r="A54" s="887" t="s">
        <v>11</v>
      </c>
      <c r="B54" s="13"/>
      <c r="C54" s="34" t="s">
        <v>256</v>
      </c>
      <c r="D54" s="13"/>
      <c r="E54" s="13"/>
      <c r="O54" s="328" t="s">
        <v>34</v>
      </c>
    </row>
    <row r="55" spans="1:15" ht="25.8" customHeight="1" x14ac:dyDescent="0.5">
      <c r="A55" s="887"/>
      <c r="B55" s="13"/>
      <c r="C55" s="35" t="s">
        <v>376</v>
      </c>
      <c r="D55" s="13"/>
      <c r="E55" s="13"/>
    </row>
    <row r="56" spans="1:15" ht="25.8" customHeight="1" x14ac:dyDescent="0.5">
      <c r="A56" s="887"/>
      <c r="B56" s="13"/>
      <c r="C56" s="35" t="str">
        <f>"COST (EST.): "&amp;TEXT(SUM(N62:N63),"$0,000.00")</f>
        <v>COST (EST.): $5,472.00</v>
      </c>
      <c r="D56" s="13"/>
      <c r="E56" s="13"/>
    </row>
    <row r="57" spans="1:15" ht="72" customHeight="1" x14ac:dyDescent="0.3">
      <c r="A57" s="887"/>
      <c r="B57" s="13"/>
      <c r="C57" s="13"/>
      <c r="D57" s="13"/>
      <c r="E57" s="13"/>
    </row>
    <row r="58" spans="1:15" ht="72" customHeight="1" x14ac:dyDescent="0.3">
      <c r="A58" s="887"/>
      <c r="B58" s="13"/>
      <c r="C58" s="13"/>
      <c r="D58" s="13"/>
      <c r="E58" s="13"/>
    </row>
    <row r="59" spans="1:15" ht="72" customHeight="1" x14ac:dyDescent="0.3">
      <c r="A59" s="887"/>
      <c r="B59" s="13"/>
      <c r="C59" s="13"/>
      <c r="D59" s="13"/>
      <c r="E59" s="13"/>
    </row>
    <row r="60" spans="1:15" ht="72" customHeight="1" x14ac:dyDescent="0.3">
      <c r="A60" s="887"/>
      <c r="B60" s="13"/>
      <c r="C60" s="13"/>
      <c r="D60" s="13"/>
      <c r="E60" s="13"/>
    </row>
    <row r="61" spans="1:15" s="4" customFormat="1" ht="18" customHeight="1" thickBot="1" x14ac:dyDescent="0.35">
      <c r="A61" s="11"/>
      <c r="B61" s="16"/>
      <c r="C61" s="198" t="s">
        <v>1</v>
      </c>
      <c r="D61" s="199"/>
      <c r="E61" s="218" t="s">
        <v>2</v>
      </c>
      <c r="F61" s="218" t="s">
        <v>3</v>
      </c>
      <c r="G61" s="198" t="s">
        <v>4</v>
      </c>
      <c r="H61" s="198" t="s">
        <v>5</v>
      </c>
      <c r="I61" s="198" t="s">
        <v>6</v>
      </c>
      <c r="J61" s="219" t="s">
        <v>7</v>
      </c>
      <c r="K61" s="198" t="s">
        <v>8</v>
      </c>
      <c r="L61" s="198"/>
      <c r="M61" s="219" t="s">
        <v>283</v>
      </c>
      <c r="N61" s="219" t="s">
        <v>352</v>
      </c>
      <c r="O61" s="198" t="s">
        <v>10</v>
      </c>
    </row>
    <row r="62" spans="1:15" s="8" customFormat="1" ht="34.5" customHeight="1" x14ac:dyDescent="0.3">
      <c r="A62" s="12"/>
      <c r="B62" s="15"/>
      <c r="C62" s="19" t="s">
        <v>13</v>
      </c>
      <c r="D62" s="404" t="s">
        <v>260</v>
      </c>
      <c r="E62" s="405">
        <v>6</v>
      </c>
      <c r="F62" s="406">
        <v>1</v>
      </c>
      <c r="G62" s="407" t="s">
        <v>214</v>
      </c>
      <c r="H62" s="407" t="s">
        <v>123</v>
      </c>
      <c r="I62" s="407" t="s">
        <v>42</v>
      </c>
      <c r="J62" s="408" t="s">
        <v>261</v>
      </c>
      <c r="K62" s="407" t="s">
        <v>30</v>
      </c>
      <c r="L62" s="407"/>
      <c r="M62" s="409">
        <v>6843.72</v>
      </c>
      <c r="N62" s="409">
        <f>ROUNDUP(M62*0.6, 0)</f>
        <v>4107</v>
      </c>
      <c r="O62" s="407" t="s">
        <v>306</v>
      </c>
    </row>
    <row r="63" spans="1:15" s="8" customFormat="1" ht="34.5" customHeight="1" thickBot="1" x14ac:dyDescent="0.35">
      <c r="A63" s="12"/>
      <c r="B63" s="15"/>
      <c r="C63" s="21" t="s">
        <v>14</v>
      </c>
      <c r="D63" s="240" t="s">
        <v>251</v>
      </c>
      <c r="E63" s="410" t="s">
        <v>18</v>
      </c>
      <c r="F63" s="411">
        <v>7</v>
      </c>
      <c r="G63" s="244" t="s">
        <v>36</v>
      </c>
      <c r="H63" s="244" t="s">
        <v>36</v>
      </c>
      <c r="I63" s="244" t="s">
        <v>36</v>
      </c>
      <c r="J63" s="412" t="s">
        <v>252</v>
      </c>
      <c r="K63" s="413" t="s">
        <v>29</v>
      </c>
      <c r="L63" s="244"/>
      <c r="M63" s="188">
        <v>2275</v>
      </c>
      <c r="N63" s="188">
        <f>ROUNDUP(M63*0.6, 0)</f>
        <v>1365</v>
      </c>
      <c r="O63" s="244" t="s">
        <v>36</v>
      </c>
    </row>
    <row r="64" spans="1:15" s="8" customFormat="1" ht="18" customHeight="1" x14ac:dyDescent="0.3">
      <c r="A64" s="12"/>
      <c r="B64" s="15"/>
      <c r="C64" s="15"/>
      <c r="D64" s="15"/>
      <c r="E64" s="15"/>
      <c r="O64" s="318" t="s">
        <v>385</v>
      </c>
    </row>
    <row r="65" spans="1:15" s="8" customFormat="1" ht="18" customHeight="1" x14ac:dyDescent="0.3">
      <c r="A65" s="12"/>
      <c r="B65" s="15"/>
      <c r="C65" s="15"/>
      <c r="D65" s="15"/>
      <c r="E65" s="15"/>
      <c r="O65" s="163" t="s">
        <v>389</v>
      </c>
    </row>
    <row r="66" spans="1:15" s="8" customFormat="1" ht="18" customHeight="1" x14ac:dyDescent="0.3">
      <c r="A66" s="12"/>
      <c r="B66" s="15"/>
      <c r="C66" s="15"/>
      <c r="D66" s="15"/>
      <c r="E66" s="15"/>
    </row>
    <row r="67" spans="1:15" s="8" customFormat="1" ht="18" customHeight="1" x14ac:dyDescent="0.3">
      <c r="A67" s="12"/>
      <c r="B67" s="15"/>
      <c r="C67" s="15"/>
      <c r="D67" s="15"/>
      <c r="E67" s="15"/>
    </row>
    <row r="68" spans="1:15" s="8" customFormat="1" ht="18" customHeight="1" x14ac:dyDescent="0.3">
      <c r="A68" s="12"/>
      <c r="B68" s="15"/>
      <c r="C68" s="15"/>
      <c r="D68" s="392"/>
      <c r="E68" s="393"/>
      <c r="F68" s="370"/>
      <c r="G68" s="91"/>
      <c r="H68" s="91"/>
      <c r="I68" s="91"/>
      <c r="J68" s="91"/>
      <c r="K68" s="396"/>
      <c r="L68" s="91"/>
      <c r="M68" s="373"/>
      <c r="N68" s="373"/>
      <c r="O68" s="91"/>
    </row>
    <row r="69" spans="1:15" s="8" customFormat="1" ht="18" customHeight="1" x14ac:dyDescent="0.3">
      <c r="A69" s="12"/>
      <c r="B69" s="15"/>
      <c r="C69" s="15"/>
      <c r="D69" s="392"/>
      <c r="E69" s="393"/>
      <c r="F69" s="370"/>
      <c r="G69" s="91"/>
      <c r="H69" s="91"/>
      <c r="I69" s="91"/>
      <c r="J69" s="391"/>
      <c r="K69" s="91"/>
      <c r="L69" s="91"/>
      <c r="M69" s="373"/>
      <c r="N69" s="373"/>
      <c r="O69" s="91"/>
    </row>
    <row r="70" spans="1:15" s="8" customFormat="1" ht="18" customHeight="1" x14ac:dyDescent="0.3">
      <c r="A70" s="12"/>
      <c r="B70" s="15"/>
      <c r="C70" s="15"/>
      <c r="D70" s="15"/>
      <c r="E70" s="15"/>
    </row>
    <row r="71" spans="1:15" s="8" customFormat="1" ht="18" customHeight="1" x14ac:dyDescent="0.3">
      <c r="A71" s="12"/>
      <c r="B71" s="15"/>
      <c r="C71" s="15"/>
      <c r="D71" s="15"/>
      <c r="E71" s="15"/>
    </row>
    <row r="72" spans="1:15" s="8" customFormat="1" ht="18" customHeight="1" x14ac:dyDescent="0.3">
      <c r="A72" s="12"/>
      <c r="B72" s="15"/>
      <c r="C72" s="15"/>
      <c r="D72" s="15"/>
      <c r="E72" s="15"/>
    </row>
    <row r="73" spans="1:15" s="8" customFormat="1" ht="18" customHeight="1" x14ac:dyDescent="0.3">
      <c r="A73" s="12"/>
      <c r="B73" s="15"/>
      <c r="C73" s="15"/>
      <c r="D73" s="15"/>
      <c r="E73" s="15"/>
    </row>
    <row r="74" spans="1:15" s="8" customFormat="1" ht="18" customHeight="1" x14ac:dyDescent="0.3">
      <c r="A74" s="12"/>
      <c r="B74" s="15"/>
      <c r="C74" s="15"/>
      <c r="D74" s="15"/>
      <c r="E74" s="15"/>
    </row>
    <row r="75" spans="1:15" s="8" customFormat="1" ht="18" customHeight="1" x14ac:dyDescent="0.3">
      <c r="A75" s="12"/>
      <c r="B75" s="15"/>
      <c r="C75" s="15"/>
      <c r="D75" s="15"/>
      <c r="E75" s="15"/>
    </row>
    <row r="76" spans="1:15" s="8" customFormat="1" ht="18" customHeight="1" x14ac:dyDescent="0.3">
      <c r="A76" s="888" t="s">
        <v>35</v>
      </c>
      <c r="B76" s="15"/>
      <c r="C76" s="15"/>
      <c r="D76" s="15"/>
      <c r="E76" s="15"/>
    </row>
    <row r="77" spans="1:15" s="8" customFormat="1" ht="18" customHeight="1" x14ac:dyDescent="0.3">
      <c r="A77" s="888"/>
      <c r="B77" s="15"/>
      <c r="C77" s="15"/>
      <c r="D77" s="15"/>
      <c r="E77" s="15"/>
    </row>
    <row r="78" spans="1:15" s="8" customFormat="1" ht="18" customHeight="1" x14ac:dyDescent="0.3">
      <c r="A78" s="888"/>
      <c r="B78" s="15"/>
      <c r="C78" s="15"/>
      <c r="D78" s="15"/>
      <c r="E78" s="15"/>
    </row>
    <row r="79" spans="1:15" s="8" customFormat="1" ht="18" customHeight="1" thickBot="1" x14ac:dyDescent="0.35">
      <c r="A79" s="888"/>
      <c r="B79" s="15"/>
      <c r="C79" s="15"/>
      <c r="D79" s="15"/>
      <c r="E79" s="15"/>
    </row>
    <row r="80" spans="1:15" ht="35.25" customHeight="1" x14ac:dyDescent="0.3">
      <c r="A80" s="674"/>
      <c r="B80" s="675"/>
      <c r="C80" s="675"/>
      <c r="D80" s="675"/>
      <c r="E80" s="675"/>
      <c r="F80" s="676"/>
      <c r="G80" s="676"/>
      <c r="H80" s="676"/>
      <c r="I80" s="676"/>
      <c r="J80" s="676"/>
      <c r="K80" s="676"/>
      <c r="L80" s="676"/>
      <c r="M80" s="676"/>
      <c r="N80" s="676"/>
      <c r="O80" s="676"/>
    </row>
    <row r="81" spans="1:15" ht="32.4" customHeight="1" x14ac:dyDescent="0.3">
      <c r="A81" s="887" t="s">
        <v>11</v>
      </c>
      <c r="B81" s="13"/>
      <c r="C81" s="34" t="s">
        <v>257</v>
      </c>
      <c r="D81" s="13"/>
      <c r="E81" s="13"/>
      <c r="O81" s="328" t="s">
        <v>34</v>
      </c>
    </row>
    <row r="82" spans="1:15" ht="25.8" customHeight="1" x14ac:dyDescent="0.5">
      <c r="A82" s="887"/>
      <c r="B82" s="13"/>
      <c r="C82" s="35" t="s">
        <v>490</v>
      </c>
      <c r="D82" s="13"/>
      <c r="E82" s="13"/>
    </row>
    <row r="83" spans="1:15" ht="25.8" customHeight="1" x14ac:dyDescent="0.5">
      <c r="A83" s="887"/>
      <c r="B83" s="13"/>
      <c r="C83" s="35" t="str">
        <f>"COST (EST.): "&amp;TEXT(SUM(N89:N90),"$0,000.00")</f>
        <v>COST (EST.): $9,312.00</v>
      </c>
      <c r="D83" s="13"/>
      <c r="E83" s="13"/>
    </row>
    <row r="84" spans="1:15" ht="72" customHeight="1" x14ac:dyDescent="0.3">
      <c r="A84" s="887"/>
      <c r="B84" s="13"/>
      <c r="C84" s="13"/>
      <c r="D84" s="13"/>
      <c r="E84" s="13"/>
    </row>
    <row r="85" spans="1:15" ht="72" customHeight="1" x14ac:dyDescent="0.3">
      <c r="A85" s="887"/>
      <c r="B85" s="13"/>
      <c r="C85" s="13"/>
      <c r="D85" s="13"/>
      <c r="E85" s="13"/>
    </row>
    <row r="86" spans="1:15" ht="72" customHeight="1" x14ac:dyDescent="0.3">
      <c r="A86" s="887"/>
      <c r="B86" s="13"/>
      <c r="C86" s="13"/>
      <c r="D86" s="13"/>
      <c r="E86" s="13"/>
    </row>
    <row r="87" spans="1:15" ht="72" customHeight="1" x14ac:dyDescent="0.3">
      <c r="A87" s="887"/>
      <c r="B87" s="13"/>
      <c r="C87" s="13"/>
      <c r="D87" s="13"/>
      <c r="E87" s="13"/>
    </row>
    <row r="88" spans="1:15" s="4" customFormat="1" ht="18" customHeight="1" thickBot="1" x14ac:dyDescent="0.35">
      <c r="A88" s="11"/>
      <c r="B88" s="16"/>
      <c r="C88" s="198" t="s">
        <v>1</v>
      </c>
      <c r="D88" s="199"/>
      <c r="E88" s="218" t="s">
        <v>2</v>
      </c>
      <c r="F88" s="218" t="s">
        <v>3</v>
      </c>
      <c r="G88" s="198" t="s">
        <v>4</v>
      </c>
      <c r="H88" s="198" t="s">
        <v>5</v>
      </c>
      <c r="I88" s="198" t="s">
        <v>6</v>
      </c>
      <c r="J88" s="219" t="s">
        <v>7</v>
      </c>
      <c r="K88" s="198" t="s">
        <v>8</v>
      </c>
      <c r="L88" s="198"/>
      <c r="M88" s="219" t="s">
        <v>283</v>
      </c>
      <c r="N88" s="219" t="s">
        <v>352</v>
      </c>
      <c r="O88" s="198" t="s">
        <v>10</v>
      </c>
    </row>
    <row r="89" spans="1:15" s="8" customFormat="1" ht="34.5" customHeight="1" x14ac:dyDescent="0.3">
      <c r="A89" s="12"/>
      <c r="B89" s="15"/>
      <c r="C89" s="19" t="s">
        <v>13</v>
      </c>
      <c r="D89" s="404" t="s">
        <v>48</v>
      </c>
      <c r="E89" s="405">
        <v>6</v>
      </c>
      <c r="F89" s="406">
        <v>5</v>
      </c>
      <c r="G89" s="407" t="s">
        <v>55</v>
      </c>
      <c r="H89" s="407" t="s">
        <v>56</v>
      </c>
      <c r="I89" s="407" t="s">
        <v>42</v>
      </c>
      <c r="J89" s="414" t="s">
        <v>263</v>
      </c>
      <c r="K89" s="407" t="s">
        <v>30</v>
      </c>
      <c r="L89" s="407"/>
      <c r="M89" s="409">
        <v>9919.4000000000015</v>
      </c>
      <c r="N89" s="409">
        <f>ROUNDUP(M89*0.6, 0)</f>
        <v>5952</v>
      </c>
      <c r="O89" s="407" t="s">
        <v>307</v>
      </c>
    </row>
    <row r="90" spans="1:15" s="8" customFormat="1" ht="34.5" customHeight="1" thickBot="1" x14ac:dyDescent="0.35">
      <c r="A90" s="12"/>
      <c r="B90" s="15"/>
      <c r="C90" s="21" t="s">
        <v>14</v>
      </c>
      <c r="D90" s="240" t="s">
        <v>20</v>
      </c>
      <c r="E90" s="410" t="s">
        <v>18</v>
      </c>
      <c r="F90" s="411">
        <v>10</v>
      </c>
      <c r="G90" s="244" t="s">
        <v>36</v>
      </c>
      <c r="H90" s="244" t="s">
        <v>36</v>
      </c>
      <c r="I90" s="244" t="s">
        <v>36</v>
      </c>
      <c r="J90" s="415" t="s">
        <v>353</v>
      </c>
      <c r="K90" s="413" t="s">
        <v>29</v>
      </c>
      <c r="L90" s="244"/>
      <c r="M90" s="188">
        <v>5600</v>
      </c>
      <c r="N90" s="188">
        <f>ROUNDUP(M90*0.6, 0)</f>
        <v>3360</v>
      </c>
      <c r="O90" s="244" t="s">
        <v>36</v>
      </c>
    </row>
    <row r="91" spans="1:15" s="8" customFormat="1" ht="18" customHeight="1" x14ac:dyDescent="0.3">
      <c r="A91" s="12"/>
      <c r="B91" s="15"/>
      <c r="C91" s="15"/>
      <c r="D91" s="15"/>
      <c r="E91" s="15"/>
      <c r="O91" s="318" t="s">
        <v>385</v>
      </c>
    </row>
    <row r="92" spans="1:15" s="8" customFormat="1" ht="18" customHeight="1" x14ac:dyDescent="0.3">
      <c r="A92" s="12"/>
      <c r="B92" s="15"/>
      <c r="C92" s="15"/>
      <c r="D92" s="15"/>
      <c r="E92" s="15"/>
      <c r="O92" s="163" t="s">
        <v>389</v>
      </c>
    </row>
    <row r="93" spans="1:15" s="8" customFormat="1" ht="18" customHeight="1" x14ac:dyDescent="0.3">
      <c r="A93" s="12"/>
      <c r="B93" s="15"/>
      <c r="C93" s="15"/>
      <c r="D93" s="15"/>
      <c r="E93" s="15"/>
    </row>
    <row r="94" spans="1:15" s="8" customFormat="1" ht="18" customHeight="1" x14ac:dyDescent="0.3">
      <c r="A94" s="12"/>
      <c r="B94" s="15"/>
      <c r="C94" s="15"/>
      <c r="D94" s="15"/>
      <c r="E94" s="15"/>
    </row>
    <row r="95" spans="1:15" s="8" customFormat="1" ht="18" customHeight="1" x14ac:dyDescent="0.3">
      <c r="A95" s="12"/>
      <c r="B95" s="15"/>
      <c r="C95" s="15"/>
      <c r="D95" s="15"/>
      <c r="E95" s="15"/>
    </row>
    <row r="96" spans="1:15" s="8" customFormat="1" ht="18" customHeight="1" x14ac:dyDescent="0.3">
      <c r="A96" s="12"/>
      <c r="B96" s="15"/>
      <c r="C96" s="15"/>
      <c r="D96" s="15"/>
      <c r="E96" s="15"/>
    </row>
    <row r="97" spans="1:15" s="8" customFormat="1" ht="18" customHeight="1" x14ac:dyDescent="0.3">
      <c r="A97" s="12"/>
      <c r="B97" s="15"/>
      <c r="C97" s="15"/>
      <c r="D97" s="15"/>
      <c r="E97" s="15"/>
    </row>
    <row r="98" spans="1:15" s="8" customFormat="1" ht="18" customHeight="1" x14ac:dyDescent="0.3">
      <c r="A98" s="12"/>
      <c r="B98" s="15"/>
      <c r="C98" s="15"/>
      <c r="D98" s="15"/>
      <c r="E98" s="15"/>
    </row>
    <row r="99" spans="1:15" s="8" customFormat="1" ht="18" customHeight="1" x14ac:dyDescent="0.3">
      <c r="A99" s="12"/>
      <c r="B99" s="15"/>
      <c r="C99" s="15"/>
      <c r="D99" s="15"/>
      <c r="E99" s="15"/>
    </row>
    <row r="100" spans="1:15" s="8" customFormat="1" ht="18" customHeight="1" x14ac:dyDescent="0.3">
      <c r="A100" s="12"/>
      <c r="B100" s="15"/>
      <c r="C100" s="15"/>
      <c r="D100" s="15"/>
      <c r="E100" s="15"/>
    </row>
    <row r="101" spans="1:15" s="8" customFormat="1" ht="18" customHeight="1" x14ac:dyDescent="0.3">
      <c r="A101" s="12"/>
      <c r="B101" s="15"/>
      <c r="C101" s="15"/>
      <c r="D101" s="15"/>
      <c r="E101" s="15"/>
    </row>
    <row r="102" spans="1:15" s="8" customFormat="1" ht="18" customHeight="1" x14ac:dyDescent="0.3">
      <c r="A102" s="12"/>
      <c r="B102" s="15"/>
      <c r="C102" s="15"/>
      <c r="D102" s="15"/>
      <c r="E102" s="15"/>
    </row>
    <row r="103" spans="1:15" s="8" customFormat="1" ht="18" customHeight="1" x14ac:dyDescent="0.3">
      <c r="A103" s="888" t="s">
        <v>180</v>
      </c>
      <c r="B103" s="15"/>
      <c r="C103" s="15"/>
      <c r="D103" s="15"/>
      <c r="E103" s="15"/>
    </row>
    <row r="104" spans="1:15" s="8" customFormat="1" ht="18" customHeight="1" x14ac:dyDescent="0.3">
      <c r="A104" s="888"/>
      <c r="B104" s="15"/>
      <c r="C104" s="15"/>
      <c r="D104" s="15"/>
      <c r="E104" s="15"/>
    </row>
    <row r="105" spans="1:15" s="8" customFormat="1" ht="18" customHeight="1" x14ac:dyDescent="0.3">
      <c r="A105" s="888"/>
      <c r="B105" s="15"/>
      <c r="C105" s="15"/>
      <c r="D105" s="15"/>
      <c r="E105" s="15"/>
    </row>
    <row r="106" spans="1:15" s="8" customFormat="1" ht="18" customHeight="1" thickBot="1" x14ac:dyDescent="0.35">
      <c r="A106" s="888"/>
      <c r="B106" s="15"/>
      <c r="C106" s="15"/>
      <c r="D106" s="15"/>
      <c r="E106" s="15"/>
    </row>
    <row r="107" spans="1:15" ht="18" customHeight="1" x14ac:dyDescent="0.3">
      <c r="A107" s="676"/>
      <c r="B107" s="676"/>
      <c r="C107" s="676"/>
      <c r="D107" s="676"/>
      <c r="E107" s="676"/>
      <c r="F107" s="676"/>
      <c r="G107" s="676"/>
      <c r="H107" s="676"/>
      <c r="I107" s="676"/>
      <c r="J107" s="676"/>
      <c r="K107" s="676"/>
      <c r="L107" s="676"/>
      <c r="M107" s="676"/>
      <c r="N107" s="676"/>
      <c r="O107" s="676"/>
    </row>
  </sheetData>
  <sheetProtection sheet="1" objects="1" scenarios="1" selectLockedCells="1"/>
  <mergeCells count="8">
    <mergeCell ref="A81:A87"/>
    <mergeCell ref="A103:A106"/>
    <mergeCell ref="A2:A8"/>
    <mergeCell ref="A22:A25"/>
    <mergeCell ref="A27:A33"/>
    <mergeCell ref="A48:A52"/>
    <mergeCell ref="A54:A60"/>
    <mergeCell ref="A76:A79"/>
  </mergeCells>
  <conditionalFormatting sqref="A1:XFD1048576">
    <cfRule type="cellIs" dxfId="7" priority="1" operator="equal">
      <formula>"N/A"</formula>
    </cfRule>
  </conditionalFormatting>
  <hyperlinks>
    <hyperlink ref="O2" location="ToC!A1" display="Return to Table of Contents"/>
    <hyperlink ref="O27" location="ToC!A1" display="Return to Table of Contents"/>
    <hyperlink ref="O54" location="ToC!A1" display="Return to Table of Contents"/>
    <hyperlink ref="O81" location="ToC!A1" display="Return to Table of Contents"/>
  </hyperlinks>
  <printOptions verticalCentered="1"/>
  <pageMargins left="0.5" right="0.5" top="0" bottom="0" header="0.3" footer="0.3"/>
  <pageSetup paperSize="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9FF"/>
  </sheetPr>
  <dimension ref="A1:O75"/>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50"/>
      <c r="B1" s="13"/>
      <c r="C1" s="13"/>
      <c r="D1" s="13"/>
      <c r="E1" s="13"/>
    </row>
    <row r="2" spans="1:15" ht="32.4" customHeight="1" x14ac:dyDescent="0.3">
      <c r="A2" s="887" t="s">
        <v>11</v>
      </c>
      <c r="B2" s="13"/>
      <c r="C2" s="14" t="s">
        <v>12</v>
      </c>
      <c r="D2" s="13"/>
      <c r="E2" s="13"/>
      <c r="O2" s="328" t="s">
        <v>34</v>
      </c>
    </row>
    <row r="3" spans="1:15" ht="25.8" customHeight="1" x14ac:dyDescent="0.5">
      <c r="A3" s="887"/>
      <c r="B3" s="13"/>
      <c r="C3" s="35" t="s">
        <v>373</v>
      </c>
      <c r="D3" s="13"/>
      <c r="E3" s="13"/>
    </row>
    <row r="4" spans="1:15" ht="25.8" customHeight="1" x14ac:dyDescent="0.5">
      <c r="A4" s="887"/>
      <c r="B4" s="13"/>
      <c r="C4" s="35" t="str">
        <f>"COST (EST.): "&amp;TEXT(SUM(N10:N14),"$0,000.00")</f>
        <v>COST (EST.): $11,680.00</v>
      </c>
      <c r="D4" s="13"/>
      <c r="E4" s="13"/>
    </row>
    <row r="5" spans="1:15" ht="72" customHeight="1" x14ac:dyDescent="0.3">
      <c r="A5" s="887"/>
      <c r="B5" s="13"/>
      <c r="C5" s="13"/>
      <c r="D5" s="13"/>
      <c r="E5" s="13"/>
    </row>
    <row r="6" spans="1:15" ht="72" customHeight="1" x14ac:dyDescent="0.3">
      <c r="A6" s="887"/>
      <c r="B6" s="13"/>
      <c r="C6" s="13"/>
      <c r="D6" s="13"/>
      <c r="E6" s="13"/>
    </row>
    <row r="7" spans="1:15" ht="72" customHeight="1" x14ac:dyDescent="0.3">
      <c r="A7" s="887"/>
      <c r="B7" s="13"/>
      <c r="C7" s="13"/>
      <c r="D7" s="13"/>
      <c r="E7" s="13"/>
    </row>
    <row r="8" spans="1:15" ht="72" customHeight="1" x14ac:dyDescent="0.3">
      <c r="A8" s="887"/>
      <c r="B8" s="13"/>
      <c r="C8" s="13"/>
      <c r="D8" s="13"/>
      <c r="E8" s="13"/>
    </row>
    <row r="9" spans="1:15" s="4" customFormat="1" ht="18" customHeight="1" thickBot="1" x14ac:dyDescent="0.35">
      <c r="A9" s="11"/>
      <c r="B9" s="16"/>
      <c r="C9" s="198" t="s">
        <v>1</v>
      </c>
      <c r="D9" s="199"/>
      <c r="E9" s="218" t="s">
        <v>2</v>
      </c>
      <c r="F9" s="218" t="s">
        <v>3</v>
      </c>
      <c r="G9" s="198" t="s">
        <v>4</v>
      </c>
      <c r="H9" s="198" t="s">
        <v>5</v>
      </c>
      <c r="I9" s="198" t="s">
        <v>6</v>
      </c>
      <c r="J9" s="219" t="s">
        <v>7</v>
      </c>
      <c r="K9" s="198" t="s">
        <v>8</v>
      </c>
      <c r="L9" s="199"/>
      <c r="M9" s="220" t="s">
        <v>283</v>
      </c>
      <c r="N9" s="219" t="s">
        <v>352</v>
      </c>
      <c r="O9" s="198" t="s">
        <v>10</v>
      </c>
    </row>
    <row r="10" spans="1:15" s="8" customFormat="1" ht="34.5" customHeight="1" x14ac:dyDescent="0.3">
      <c r="A10" s="12"/>
      <c r="B10" s="15"/>
      <c r="C10" s="19" t="s">
        <v>13</v>
      </c>
      <c r="D10" s="48" t="s">
        <v>23</v>
      </c>
      <c r="E10" s="31">
        <v>6</v>
      </c>
      <c r="F10" s="28">
        <v>6</v>
      </c>
      <c r="G10" s="37" t="s">
        <v>38</v>
      </c>
      <c r="H10" s="23" t="s">
        <v>37</v>
      </c>
      <c r="I10" s="37" t="s">
        <v>39</v>
      </c>
      <c r="J10" s="22" t="s">
        <v>26</v>
      </c>
      <c r="K10" s="23" t="s">
        <v>29</v>
      </c>
      <c r="L10" s="23"/>
      <c r="M10" s="185">
        <v>10656</v>
      </c>
      <c r="N10" s="185">
        <f>ROUNDUP(M10*0.6, 0)</f>
        <v>6394</v>
      </c>
      <c r="O10" s="23" t="s">
        <v>272</v>
      </c>
    </row>
    <row r="11" spans="1:15" s="8" customFormat="1" ht="34.5" customHeight="1" x14ac:dyDescent="0.3">
      <c r="A11" s="12"/>
      <c r="B11" s="15"/>
      <c r="C11" s="20" t="s">
        <v>14</v>
      </c>
      <c r="D11" s="49" t="s">
        <v>24</v>
      </c>
      <c r="E11" s="32">
        <v>6</v>
      </c>
      <c r="F11" s="29">
        <v>2</v>
      </c>
      <c r="G11" s="25" t="s">
        <v>40</v>
      </c>
      <c r="H11" s="25" t="s">
        <v>41</v>
      </c>
      <c r="I11" s="25" t="s">
        <v>42</v>
      </c>
      <c r="J11" s="24" t="s">
        <v>27</v>
      </c>
      <c r="K11" s="25" t="s">
        <v>30</v>
      </c>
      <c r="L11" s="25"/>
      <c r="M11" s="186">
        <v>2216</v>
      </c>
      <c r="N11" s="185">
        <f>ROUNDUP(M11*0.6, 0)</f>
        <v>1330</v>
      </c>
      <c r="O11" s="25" t="s">
        <v>308</v>
      </c>
    </row>
    <row r="12" spans="1:15" s="8" customFormat="1" ht="34.5" customHeight="1" x14ac:dyDescent="0.3">
      <c r="A12" s="12"/>
      <c r="B12" s="15"/>
      <c r="C12" s="20" t="s">
        <v>15</v>
      </c>
      <c r="D12" s="49" t="s">
        <v>25</v>
      </c>
      <c r="E12" s="32">
        <v>6</v>
      </c>
      <c r="F12" s="29">
        <v>2</v>
      </c>
      <c r="G12" s="25" t="s">
        <v>43</v>
      </c>
      <c r="H12" s="25" t="s">
        <v>44</v>
      </c>
      <c r="I12" s="38" t="s">
        <v>39</v>
      </c>
      <c r="J12" s="24" t="s">
        <v>28</v>
      </c>
      <c r="K12" s="25" t="s">
        <v>29</v>
      </c>
      <c r="L12" s="25"/>
      <c r="M12" s="186">
        <v>1952.6</v>
      </c>
      <c r="N12" s="185">
        <f>ROUNDUP(M12*0.6, 0)</f>
        <v>1172</v>
      </c>
      <c r="O12" s="25" t="s">
        <v>269</v>
      </c>
    </row>
    <row r="13" spans="1:15" s="8" customFormat="1" ht="34.5" customHeight="1" x14ac:dyDescent="0.3">
      <c r="A13" s="12"/>
      <c r="B13" s="15"/>
      <c r="C13" s="20" t="s">
        <v>16</v>
      </c>
      <c r="D13" s="49" t="s">
        <v>20</v>
      </c>
      <c r="E13" s="32" t="s">
        <v>18</v>
      </c>
      <c r="F13" s="29">
        <v>4</v>
      </c>
      <c r="G13" s="25" t="s">
        <v>36</v>
      </c>
      <c r="H13" s="25" t="s">
        <v>36</v>
      </c>
      <c r="I13" s="25" t="s">
        <v>36</v>
      </c>
      <c r="J13" s="291" t="s">
        <v>353</v>
      </c>
      <c r="K13" s="25" t="s">
        <v>29</v>
      </c>
      <c r="L13" s="25"/>
      <c r="M13" s="186">
        <v>2240</v>
      </c>
      <c r="N13" s="185">
        <f>ROUNDUP(M13*0.6, 0)</f>
        <v>1344</v>
      </c>
      <c r="O13" s="25" t="s">
        <v>36</v>
      </c>
    </row>
    <row r="14" spans="1:15" s="8" customFormat="1" ht="34.5" customHeight="1" thickBot="1" x14ac:dyDescent="0.35">
      <c r="A14" s="12"/>
      <c r="B14" s="15"/>
      <c r="C14" s="21" t="s">
        <v>17</v>
      </c>
      <c r="D14" s="50" t="s">
        <v>21</v>
      </c>
      <c r="E14" s="33">
        <v>6</v>
      </c>
      <c r="F14" s="30">
        <v>4</v>
      </c>
      <c r="G14" s="27" t="s">
        <v>36</v>
      </c>
      <c r="H14" s="27" t="s">
        <v>36</v>
      </c>
      <c r="I14" s="27" t="s">
        <v>36</v>
      </c>
      <c r="J14" s="26" t="s">
        <v>22</v>
      </c>
      <c r="K14" s="27" t="s">
        <v>30</v>
      </c>
      <c r="L14" s="27"/>
      <c r="M14" s="187">
        <v>2400</v>
      </c>
      <c r="N14" s="188">
        <f>ROUNDUP(M14*0.6, 0)</f>
        <v>1440</v>
      </c>
      <c r="O14" s="27" t="s">
        <v>271</v>
      </c>
    </row>
    <row r="15" spans="1:15" s="8" customFormat="1" ht="18" customHeight="1" x14ac:dyDescent="0.3">
      <c r="A15" s="12"/>
      <c r="B15" s="15"/>
      <c r="C15" s="690" t="s">
        <v>487</v>
      </c>
      <c r="D15" s="15"/>
      <c r="E15" s="15"/>
      <c r="O15" s="318" t="s">
        <v>385</v>
      </c>
    </row>
    <row r="16" spans="1:15" s="8" customFormat="1" ht="18" customHeight="1" x14ac:dyDescent="0.3">
      <c r="A16" s="12"/>
      <c r="B16" s="15"/>
      <c r="C16" s="889" t="s">
        <v>488</v>
      </c>
      <c r="D16" s="889"/>
      <c r="E16" s="889"/>
      <c r="O16" s="163" t="s">
        <v>389</v>
      </c>
    </row>
    <row r="17" spans="1:15" s="8" customFormat="1" ht="18" customHeight="1" x14ac:dyDescent="0.3">
      <c r="A17" s="12"/>
      <c r="B17" s="15"/>
      <c r="C17" s="889"/>
      <c r="D17" s="889"/>
      <c r="E17" s="889"/>
    </row>
    <row r="18" spans="1:15" s="8" customFormat="1" ht="18" customHeight="1" x14ac:dyDescent="0.3">
      <c r="A18" s="12"/>
      <c r="B18" s="15"/>
      <c r="C18" s="890" t="s">
        <v>489</v>
      </c>
      <c r="D18" s="889"/>
      <c r="E18" s="889"/>
    </row>
    <row r="19" spans="1:15" s="8" customFormat="1" ht="18" customHeight="1" x14ac:dyDescent="0.3">
      <c r="A19" s="12"/>
      <c r="B19" s="15"/>
      <c r="C19" s="889"/>
      <c r="D19" s="889"/>
      <c r="E19" s="889"/>
    </row>
    <row r="20" spans="1:15" s="8" customFormat="1" ht="18" customHeight="1" x14ac:dyDescent="0.3">
      <c r="A20" s="12"/>
      <c r="B20" s="15"/>
      <c r="C20" s="15"/>
      <c r="D20" s="15"/>
      <c r="E20" s="15"/>
    </row>
    <row r="21" spans="1:15" s="8" customFormat="1" ht="18" customHeight="1" x14ac:dyDescent="0.3">
      <c r="A21" s="888" t="s">
        <v>0</v>
      </c>
      <c r="B21" s="15"/>
      <c r="C21" s="15"/>
      <c r="D21" s="15"/>
      <c r="E21" s="15"/>
    </row>
    <row r="22" spans="1:15" s="8" customFormat="1" ht="18" customHeight="1" x14ac:dyDescent="0.3">
      <c r="A22" s="888"/>
      <c r="B22" s="15"/>
      <c r="C22" s="15"/>
      <c r="D22" s="15"/>
      <c r="E22" s="15"/>
    </row>
    <row r="23" spans="1:15" s="8" customFormat="1" ht="18" customHeight="1" x14ac:dyDescent="0.3">
      <c r="A23" s="888"/>
      <c r="B23" s="15"/>
      <c r="C23" s="15"/>
      <c r="D23" s="15"/>
      <c r="E23" s="15"/>
    </row>
    <row r="24" spans="1:15" s="8" customFormat="1" ht="18" customHeight="1" thickBot="1" x14ac:dyDescent="0.35">
      <c r="A24" s="888"/>
      <c r="B24" s="15"/>
      <c r="C24" s="15"/>
      <c r="D24" s="15"/>
      <c r="E24" s="15"/>
    </row>
    <row r="25" spans="1:15" ht="35.25" customHeight="1" x14ac:dyDescent="0.3">
      <c r="A25" s="674"/>
      <c r="B25" s="675"/>
      <c r="C25" s="675"/>
      <c r="D25" s="675"/>
      <c r="E25" s="675"/>
      <c r="F25" s="676"/>
      <c r="G25" s="676"/>
      <c r="H25" s="676"/>
      <c r="I25" s="676"/>
      <c r="J25" s="676"/>
      <c r="K25" s="676"/>
      <c r="L25" s="676"/>
      <c r="M25" s="676"/>
      <c r="N25" s="676"/>
      <c r="O25" s="676"/>
    </row>
    <row r="26" spans="1:15" ht="32.4" customHeight="1" x14ac:dyDescent="0.3">
      <c r="A26" s="887" t="s">
        <v>11</v>
      </c>
      <c r="B26" s="13"/>
      <c r="C26" s="14" t="s">
        <v>31</v>
      </c>
      <c r="D26" s="13"/>
      <c r="E26" s="13"/>
      <c r="O26" s="328" t="s">
        <v>34</v>
      </c>
    </row>
    <row r="27" spans="1:15" ht="25.8" customHeight="1" x14ac:dyDescent="0.5">
      <c r="A27" s="887"/>
      <c r="B27" s="13"/>
      <c r="C27" s="35" t="s">
        <v>372</v>
      </c>
      <c r="D27" s="13"/>
      <c r="E27" s="13"/>
    </row>
    <row r="28" spans="1:15" ht="25.8" customHeight="1" x14ac:dyDescent="0.5">
      <c r="A28" s="887"/>
      <c r="B28" s="13"/>
      <c r="C28" s="35" t="str">
        <f>"COST (EST.): "&amp;TEXT(SUM(N34:N39),"$0,000.00")</f>
        <v>COST (EST.): $9,169.00</v>
      </c>
      <c r="D28" s="13"/>
      <c r="E28" s="13"/>
    </row>
    <row r="29" spans="1:15" ht="72" customHeight="1" x14ac:dyDescent="0.3">
      <c r="A29" s="887"/>
      <c r="B29" s="13"/>
      <c r="C29" s="13"/>
      <c r="D29" s="13"/>
      <c r="E29" s="13"/>
    </row>
    <row r="30" spans="1:15" ht="72" customHeight="1" x14ac:dyDescent="0.3">
      <c r="A30" s="887"/>
      <c r="B30" s="13"/>
      <c r="C30" s="13"/>
      <c r="D30" s="13"/>
      <c r="E30" s="13"/>
    </row>
    <row r="31" spans="1:15" ht="72" customHeight="1" x14ac:dyDescent="0.3">
      <c r="A31" s="887"/>
      <c r="B31" s="13"/>
      <c r="C31" s="13"/>
      <c r="D31" s="13"/>
      <c r="E31" s="13"/>
    </row>
    <row r="32" spans="1:15" ht="72" customHeight="1" x14ac:dyDescent="0.3">
      <c r="A32" s="887"/>
      <c r="B32" s="13"/>
      <c r="C32" s="13"/>
      <c r="D32" s="13"/>
      <c r="E32" s="13"/>
    </row>
    <row r="33" spans="1:15" s="4" customFormat="1" ht="18" customHeight="1" thickBot="1" x14ac:dyDescent="0.35">
      <c r="A33" s="11"/>
      <c r="B33" s="16"/>
      <c r="C33" s="198" t="s">
        <v>1</v>
      </c>
      <c r="D33" s="199"/>
      <c r="E33" s="218" t="s">
        <v>2</v>
      </c>
      <c r="F33" s="218" t="s">
        <v>3</v>
      </c>
      <c r="G33" s="198" t="s">
        <v>4</v>
      </c>
      <c r="H33" s="198" t="s">
        <v>5</v>
      </c>
      <c r="I33" s="198" t="s">
        <v>6</v>
      </c>
      <c r="J33" s="219" t="s">
        <v>7</v>
      </c>
      <c r="K33" s="198" t="s">
        <v>8</v>
      </c>
      <c r="L33" s="199"/>
      <c r="M33" s="219" t="s">
        <v>283</v>
      </c>
      <c r="N33" s="219" t="s">
        <v>352</v>
      </c>
      <c r="O33" s="198" t="s">
        <v>10</v>
      </c>
    </row>
    <row r="34" spans="1:15" s="8" customFormat="1" ht="34.5" customHeight="1" x14ac:dyDescent="0.3">
      <c r="A34" s="12"/>
      <c r="B34" s="15"/>
      <c r="C34" s="19" t="s">
        <v>13</v>
      </c>
      <c r="D34" s="416" t="s">
        <v>45</v>
      </c>
      <c r="E34" s="405">
        <v>6</v>
      </c>
      <c r="F34" s="406">
        <v>1</v>
      </c>
      <c r="G34" s="417" t="s">
        <v>50</v>
      </c>
      <c r="H34" s="417" t="s">
        <v>51</v>
      </c>
      <c r="I34" s="417" t="s">
        <v>52</v>
      </c>
      <c r="J34" s="418" t="s">
        <v>58</v>
      </c>
      <c r="K34" s="419" t="s">
        <v>30</v>
      </c>
      <c r="L34" s="419"/>
      <c r="M34" s="420">
        <v>1517.1</v>
      </c>
      <c r="N34" s="409">
        <f t="shared" ref="N34:N39" si="0">ROUNDUP(M34*0.6, 0)</f>
        <v>911</v>
      </c>
      <c r="O34" s="407" t="s">
        <v>266</v>
      </c>
    </row>
    <row r="35" spans="1:15" s="8" customFormat="1" ht="34.5" customHeight="1" x14ac:dyDescent="0.3">
      <c r="A35" s="12"/>
      <c r="B35" s="15"/>
      <c r="C35" s="20" t="s">
        <v>14</v>
      </c>
      <c r="D35" s="49" t="s">
        <v>48</v>
      </c>
      <c r="E35" s="32">
        <v>6</v>
      </c>
      <c r="F35" s="29">
        <v>2</v>
      </c>
      <c r="G35" s="25" t="s">
        <v>55</v>
      </c>
      <c r="H35" s="25" t="s">
        <v>56</v>
      </c>
      <c r="I35" s="25" t="s">
        <v>42</v>
      </c>
      <c r="J35" s="42" t="s">
        <v>60</v>
      </c>
      <c r="K35" s="43" t="s">
        <v>30</v>
      </c>
      <c r="L35" s="43"/>
      <c r="M35" s="192">
        <v>3967.76</v>
      </c>
      <c r="N35" s="186">
        <f t="shared" si="0"/>
        <v>2381</v>
      </c>
      <c r="O35" s="25" t="s">
        <v>287</v>
      </c>
    </row>
    <row r="36" spans="1:15" s="8" customFormat="1" ht="34.5" customHeight="1" x14ac:dyDescent="0.3">
      <c r="A36" s="12"/>
      <c r="B36" s="15"/>
      <c r="C36" s="20" t="s">
        <v>15</v>
      </c>
      <c r="D36" s="49" t="s">
        <v>20</v>
      </c>
      <c r="E36" s="32" t="s">
        <v>18</v>
      </c>
      <c r="F36" s="29">
        <v>4</v>
      </c>
      <c r="G36" s="25" t="s">
        <v>36</v>
      </c>
      <c r="H36" s="25" t="s">
        <v>36</v>
      </c>
      <c r="I36" s="25" t="s">
        <v>36</v>
      </c>
      <c r="J36" s="421" t="s">
        <v>353</v>
      </c>
      <c r="K36" s="43" t="s">
        <v>29</v>
      </c>
      <c r="L36" s="43"/>
      <c r="M36" s="192">
        <v>2240</v>
      </c>
      <c r="N36" s="186">
        <f t="shared" si="0"/>
        <v>1344</v>
      </c>
      <c r="O36" s="25" t="s">
        <v>36</v>
      </c>
    </row>
    <row r="37" spans="1:15" s="8" customFormat="1" ht="34.5" customHeight="1" x14ac:dyDescent="0.3">
      <c r="A37" s="12"/>
      <c r="B37" s="15"/>
      <c r="C37" s="20" t="s">
        <v>16</v>
      </c>
      <c r="D37" s="49" t="s">
        <v>47</v>
      </c>
      <c r="E37" s="32">
        <v>6</v>
      </c>
      <c r="F37" s="29">
        <v>2</v>
      </c>
      <c r="G37" s="25" t="s">
        <v>36</v>
      </c>
      <c r="H37" s="25" t="s">
        <v>53</v>
      </c>
      <c r="I37" s="38" t="s">
        <v>54</v>
      </c>
      <c r="J37" s="42" t="s">
        <v>59</v>
      </c>
      <c r="K37" s="75" t="s">
        <v>114</v>
      </c>
      <c r="L37" s="43"/>
      <c r="M37" s="192">
        <v>1604.88</v>
      </c>
      <c r="N37" s="186">
        <f t="shared" si="0"/>
        <v>963</v>
      </c>
      <c r="O37" s="25" t="s">
        <v>310</v>
      </c>
    </row>
    <row r="38" spans="1:15" s="8" customFormat="1" ht="34.5" customHeight="1" x14ac:dyDescent="0.3">
      <c r="A38" s="12"/>
      <c r="B38" s="15"/>
      <c r="C38" s="39" t="s">
        <v>17</v>
      </c>
      <c r="D38" s="49" t="s">
        <v>49</v>
      </c>
      <c r="E38" s="32">
        <v>6</v>
      </c>
      <c r="F38" s="29">
        <v>2</v>
      </c>
      <c r="G38" s="25" t="s">
        <v>36</v>
      </c>
      <c r="H38" s="25" t="s">
        <v>36</v>
      </c>
      <c r="I38" s="25" t="s">
        <v>36</v>
      </c>
      <c r="J38" s="42" t="s">
        <v>62</v>
      </c>
      <c r="K38" s="75" t="s">
        <v>115</v>
      </c>
      <c r="L38" s="43"/>
      <c r="M38" s="192">
        <v>4691.74</v>
      </c>
      <c r="N38" s="186">
        <f t="shared" si="0"/>
        <v>2816</v>
      </c>
      <c r="O38" s="25" t="s">
        <v>268</v>
      </c>
    </row>
    <row r="39" spans="1:15" s="8" customFormat="1" ht="34.5" customHeight="1" thickBot="1" x14ac:dyDescent="0.35">
      <c r="A39" s="12"/>
      <c r="B39" s="15"/>
      <c r="C39" s="21" t="s">
        <v>46</v>
      </c>
      <c r="D39" s="240" t="s">
        <v>24</v>
      </c>
      <c r="E39" s="410">
        <v>6</v>
      </c>
      <c r="F39" s="411">
        <v>1</v>
      </c>
      <c r="G39" s="244" t="s">
        <v>57</v>
      </c>
      <c r="H39" s="244" t="s">
        <v>57</v>
      </c>
      <c r="I39" s="244" t="s">
        <v>42</v>
      </c>
      <c r="J39" s="422" t="s">
        <v>61</v>
      </c>
      <c r="K39" s="339" t="s">
        <v>30</v>
      </c>
      <c r="L39" s="339"/>
      <c r="M39" s="423">
        <v>1256</v>
      </c>
      <c r="N39" s="188">
        <f t="shared" si="0"/>
        <v>754</v>
      </c>
      <c r="O39" s="244" t="s">
        <v>278</v>
      </c>
    </row>
    <row r="40" spans="1:15" s="8" customFormat="1" ht="18" customHeight="1" x14ac:dyDescent="0.3">
      <c r="A40" s="12"/>
      <c r="B40" s="15"/>
      <c r="C40" s="15"/>
      <c r="D40" s="15"/>
      <c r="E40" s="15"/>
      <c r="O40" s="318" t="s">
        <v>385</v>
      </c>
    </row>
    <row r="41" spans="1:15" s="8" customFormat="1" ht="18" customHeight="1" x14ac:dyDescent="0.3">
      <c r="A41" s="12"/>
      <c r="B41" s="15"/>
      <c r="C41" s="15"/>
      <c r="D41" s="15"/>
      <c r="E41" s="15"/>
      <c r="O41" s="163" t="s">
        <v>389</v>
      </c>
    </row>
    <row r="42" spans="1:15" s="8" customFormat="1" ht="18" customHeight="1" x14ac:dyDescent="0.3">
      <c r="A42" s="12"/>
      <c r="B42" s="15"/>
      <c r="C42" s="15"/>
      <c r="D42" s="15"/>
      <c r="E42" s="15"/>
    </row>
    <row r="43" spans="1:15" s="8" customFormat="1" ht="18" customHeight="1" x14ac:dyDescent="0.3">
      <c r="A43" s="12"/>
      <c r="B43" s="15"/>
      <c r="C43" s="15"/>
      <c r="D43" s="15"/>
      <c r="E43" s="15"/>
    </row>
    <row r="44" spans="1:15" s="8" customFormat="1" ht="18" customHeight="1" x14ac:dyDescent="0.3">
      <c r="A44" s="888" t="s">
        <v>32</v>
      </c>
      <c r="B44" s="15"/>
      <c r="C44" s="15"/>
      <c r="D44" s="15"/>
      <c r="E44" s="15"/>
    </row>
    <row r="45" spans="1:15" s="8" customFormat="1" ht="18" customHeight="1" x14ac:dyDescent="0.3">
      <c r="A45" s="888"/>
      <c r="B45" s="15"/>
      <c r="C45" s="15"/>
      <c r="D45" s="15"/>
      <c r="E45" s="15"/>
    </row>
    <row r="46" spans="1:15" s="8" customFormat="1" ht="18" customHeight="1" x14ac:dyDescent="0.3">
      <c r="A46" s="888"/>
      <c r="B46" s="15"/>
      <c r="C46" s="15"/>
      <c r="D46" s="15"/>
      <c r="E46" s="15"/>
    </row>
    <row r="47" spans="1:15" s="8" customFormat="1" ht="18" customHeight="1" thickBot="1" x14ac:dyDescent="0.35">
      <c r="A47" s="888"/>
      <c r="B47" s="15"/>
      <c r="C47" s="15"/>
      <c r="D47" s="15"/>
      <c r="E47" s="15"/>
    </row>
    <row r="48" spans="1:15" ht="35.25" customHeight="1" x14ac:dyDescent="0.3">
      <c r="A48" s="674"/>
      <c r="B48" s="675"/>
      <c r="C48" s="675"/>
      <c r="D48" s="675"/>
      <c r="E48" s="675"/>
      <c r="F48" s="676"/>
      <c r="G48" s="676"/>
      <c r="H48" s="676"/>
      <c r="I48" s="676"/>
      <c r="J48" s="676"/>
      <c r="K48" s="676"/>
      <c r="L48" s="676"/>
      <c r="M48" s="676"/>
      <c r="N48" s="676"/>
      <c r="O48" s="676"/>
    </row>
    <row r="49" spans="1:15" ht="32.4" customHeight="1" x14ac:dyDescent="0.3">
      <c r="A49" s="887" t="s">
        <v>11</v>
      </c>
      <c r="B49" s="13"/>
      <c r="C49" s="34" t="s">
        <v>33</v>
      </c>
      <c r="D49" s="13"/>
      <c r="E49" s="13"/>
      <c r="O49" s="328" t="s">
        <v>34</v>
      </c>
    </row>
    <row r="50" spans="1:15" ht="25.8" customHeight="1" x14ac:dyDescent="0.5">
      <c r="A50" s="887"/>
      <c r="B50" s="13"/>
      <c r="C50" s="35" t="s">
        <v>371</v>
      </c>
      <c r="D50" s="13"/>
      <c r="E50" s="13"/>
    </row>
    <row r="51" spans="1:15" ht="25.8" customHeight="1" x14ac:dyDescent="0.5">
      <c r="A51" s="887"/>
      <c r="B51" s="13"/>
      <c r="C51" s="35" t="str">
        <f>"COST (EST.): "&amp;TEXT(SUM(N57:N58),"$0,000.00")</f>
        <v>COST (EST.): $10,213.00</v>
      </c>
      <c r="D51" s="13"/>
      <c r="E51" s="13"/>
    </row>
    <row r="52" spans="1:15" ht="72" customHeight="1" x14ac:dyDescent="0.3">
      <c r="A52" s="887"/>
      <c r="B52" s="13"/>
      <c r="C52" s="13"/>
      <c r="D52" s="13"/>
      <c r="E52" s="13"/>
    </row>
    <row r="53" spans="1:15" ht="72" customHeight="1" x14ac:dyDescent="0.3">
      <c r="A53" s="887"/>
      <c r="B53" s="13"/>
      <c r="C53" s="13"/>
      <c r="D53" s="13"/>
      <c r="E53" s="13"/>
    </row>
    <row r="54" spans="1:15" ht="72" customHeight="1" x14ac:dyDescent="0.3">
      <c r="A54" s="887"/>
      <c r="B54" s="13"/>
      <c r="C54" s="13"/>
      <c r="D54" s="13"/>
      <c r="E54" s="13"/>
    </row>
    <row r="55" spans="1:15" ht="72" customHeight="1" x14ac:dyDescent="0.3">
      <c r="A55" s="887"/>
      <c r="B55" s="13"/>
      <c r="C55" s="13"/>
      <c r="D55" s="13"/>
      <c r="E55" s="13"/>
    </row>
    <row r="56" spans="1:15" s="4" customFormat="1" ht="18" customHeight="1" thickBot="1" x14ac:dyDescent="0.35">
      <c r="A56" s="11"/>
      <c r="B56" s="16"/>
      <c r="C56" s="198" t="s">
        <v>1</v>
      </c>
      <c r="D56" s="199"/>
      <c r="E56" s="218" t="s">
        <v>2</v>
      </c>
      <c r="F56" s="218" t="s">
        <v>3</v>
      </c>
      <c r="G56" s="198" t="s">
        <v>4</v>
      </c>
      <c r="H56" s="198" t="s">
        <v>5</v>
      </c>
      <c r="I56" s="198" t="s">
        <v>6</v>
      </c>
      <c r="J56" s="219" t="s">
        <v>7</v>
      </c>
      <c r="K56" s="198" t="s">
        <v>8</v>
      </c>
      <c r="L56" s="198"/>
      <c r="M56" s="219" t="s">
        <v>283</v>
      </c>
      <c r="N56" s="219" t="s">
        <v>352</v>
      </c>
      <c r="O56" s="198" t="s">
        <v>10</v>
      </c>
    </row>
    <row r="57" spans="1:15" s="8" customFormat="1" ht="34.5" customHeight="1" x14ac:dyDescent="0.3">
      <c r="A57" s="12"/>
      <c r="B57" s="15"/>
      <c r="C57" s="19" t="s">
        <v>13</v>
      </c>
      <c r="D57" s="48" t="s">
        <v>49</v>
      </c>
      <c r="E57" s="31">
        <v>6</v>
      </c>
      <c r="F57" s="28">
        <v>6</v>
      </c>
      <c r="G57" s="23" t="s">
        <v>36</v>
      </c>
      <c r="H57" s="23" t="s">
        <v>36</v>
      </c>
      <c r="I57" s="23" t="s">
        <v>36</v>
      </c>
      <c r="J57" s="22" t="s">
        <v>62</v>
      </c>
      <c r="K57" s="36" t="s">
        <v>115</v>
      </c>
      <c r="L57" s="23"/>
      <c r="M57" s="185">
        <v>16421.09</v>
      </c>
      <c r="N57" s="185">
        <f>ROUNDUP(M57*0.6, 0)</f>
        <v>9853</v>
      </c>
      <c r="O57" s="23" t="s">
        <v>268</v>
      </c>
    </row>
    <row r="58" spans="1:15" s="8" customFormat="1" ht="34.5" customHeight="1" thickBot="1" x14ac:dyDescent="0.35">
      <c r="A58" s="12"/>
      <c r="B58" s="15"/>
      <c r="C58" s="21" t="s">
        <v>14</v>
      </c>
      <c r="D58" s="50" t="s">
        <v>21</v>
      </c>
      <c r="E58" s="33">
        <v>6</v>
      </c>
      <c r="F58" s="30">
        <v>1</v>
      </c>
      <c r="G58" s="27" t="s">
        <v>36</v>
      </c>
      <c r="H58" s="27" t="s">
        <v>36</v>
      </c>
      <c r="I58" s="27" t="s">
        <v>36</v>
      </c>
      <c r="J58" s="26" t="s">
        <v>22</v>
      </c>
      <c r="K58" s="27" t="s">
        <v>30</v>
      </c>
      <c r="L58" s="27"/>
      <c r="M58" s="187">
        <v>600</v>
      </c>
      <c r="N58" s="188">
        <f>ROUNDUP(M58*0.6, 0)</f>
        <v>360</v>
      </c>
      <c r="O58" s="27" t="s">
        <v>271</v>
      </c>
    </row>
    <row r="59" spans="1:15" s="8" customFormat="1" ht="18" customHeight="1" x14ac:dyDescent="0.3">
      <c r="A59" s="12"/>
      <c r="B59" s="15"/>
      <c r="C59" s="15"/>
      <c r="D59" s="15"/>
      <c r="E59" s="15"/>
      <c r="O59" s="318" t="s">
        <v>385</v>
      </c>
    </row>
    <row r="60" spans="1:15" s="8" customFormat="1" ht="18" customHeight="1" x14ac:dyDescent="0.3">
      <c r="A60" s="12"/>
      <c r="B60" s="15"/>
      <c r="C60" s="15"/>
      <c r="D60" s="15"/>
      <c r="E60" s="15"/>
      <c r="O60" s="163" t="s">
        <v>389</v>
      </c>
    </row>
    <row r="61" spans="1:15" s="8" customFormat="1" ht="18" customHeight="1" x14ac:dyDescent="0.3">
      <c r="A61" s="12"/>
      <c r="B61" s="15"/>
      <c r="C61" s="15"/>
      <c r="D61" s="15"/>
      <c r="E61" s="15"/>
    </row>
    <row r="62" spans="1:15" s="8" customFormat="1" ht="18" customHeight="1" x14ac:dyDescent="0.3">
      <c r="A62" s="12"/>
      <c r="B62" s="15"/>
      <c r="C62" s="15"/>
      <c r="D62" s="15"/>
      <c r="E62" s="15"/>
    </row>
    <row r="63" spans="1:15" s="8" customFormat="1" ht="18" customHeight="1" x14ac:dyDescent="0.3">
      <c r="A63" s="12"/>
      <c r="B63" s="15"/>
      <c r="C63" s="15"/>
      <c r="D63" s="15"/>
      <c r="E63" s="15"/>
    </row>
    <row r="64" spans="1:15" s="8" customFormat="1" ht="18" customHeight="1" x14ac:dyDescent="0.3">
      <c r="A64" s="12"/>
      <c r="B64" s="15"/>
      <c r="C64" s="15"/>
      <c r="D64" s="15"/>
      <c r="E64" s="15"/>
    </row>
    <row r="65" spans="1:15" s="8" customFormat="1" ht="18" customHeight="1" x14ac:dyDescent="0.3">
      <c r="A65" s="12"/>
      <c r="B65" s="15"/>
      <c r="C65" s="15"/>
      <c r="D65" s="15"/>
      <c r="E65" s="15"/>
    </row>
    <row r="66" spans="1:15" s="8" customFormat="1" ht="18" customHeight="1" x14ac:dyDescent="0.3">
      <c r="A66" s="12"/>
      <c r="B66" s="15"/>
      <c r="C66" s="15"/>
      <c r="D66" s="15"/>
      <c r="E66" s="15"/>
    </row>
    <row r="67" spans="1:15" s="8" customFormat="1" ht="18" customHeight="1" x14ac:dyDescent="0.3">
      <c r="A67" s="12"/>
      <c r="B67" s="15"/>
      <c r="C67" s="15"/>
      <c r="D67" s="15"/>
      <c r="E67" s="15"/>
    </row>
    <row r="68" spans="1:15" s="8" customFormat="1" ht="18" customHeight="1" x14ac:dyDescent="0.3">
      <c r="A68" s="12"/>
      <c r="B68" s="15"/>
      <c r="C68" s="15"/>
      <c r="D68" s="15"/>
      <c r="E68" s="15"/>
    </row>
    <row r="69" spans="1:15" s="8" customFormat="1" ht="18" customHeight="1" x14ac:dyDescent="0.3">
      <c r="A69" s="12"/>
      <c r="B69" s="15"/>
      <c r="C69" s="15"/>
      <c r="D69" s="15"/>
      <c r="E69" s="15"/>
    </row>
    <row r="70" spans="1:15" s="8" customFormat="1" ht="18" customHeight="1" x14ac:dyDescent="0.3">
      <c r="A70" s="12"/>
      <c r="B70" s="15"/>
      <c r="C70" s="15"/>
      <c r="D70" s="15"/>
      <c r="E70" s="15"/>
    </row>
    <row r="71" spans="1:15" s="8" customFormat="1" ht="18" customHeight="1" x14ac:dyDescent="0.3">
      <c r="A71" s="888" t="s">
        <v>35</v>
      </c>
      <c r="B71" s="15"/>
      <c r="C71" s="15"/>
      <c r="D71" s="15"/>
      <c r="E71" s="15"/>
    </row>
    <row r="72" spans="1:15" s="8" customFormat="1" ht="18" customHeight="1" x14ac:dyDescent="0.3">
      <c r="A72" s="888"/>
      <c r="B72" s="15"/>
      <c r="C72" s="15"/>
      <c r="D72" s="15"/>
      <c r="E72" s="15"/>
    </row>
    <row r="73" spans="1:15" s="8" customFormat="1" ht="18" customHeight="1" x14ac:dyDescent="0.3">
      <c r="A73" s="888"/>
      <c r="B73" s="15"/>
      <c r="C73" s="15"/>
      <c r="D73" s="15"/>
      <c r="E73" s="15"/>
    </row>
    <row r="74" spans="1:15" s="8" customFormat="1" ht="18" customHeight="1" thickBot="1" x14ac:dyDescent="0.35">
      <c r="A74" s="888"/>
      <c r="B74" s="15"/>
      <c r="C74" s="15"/>
      <c r="D74" s="15"/>
      <c r="E74" s="15"/>
    </row>
    <row r="75" spans="1:15" ht="18" customHeight="1" x14ac:dyDescent="0.3">
      <c r="A75" s="676"/>
      <c r="B75" s="676"/>
      <c r="C75" s="676"/>
      <c r="D75" s="676"/>
      <c r="E75" s="676"/>
      <c r="F75" s="676"/>
      <c r="G75" s="676"/>
      <c r="H75" s="676"/>
      <c r="I75" s="676"/>
      <c r="J75" s="676"/>
      <c r="K75" s="676"/>
      <c r="L75" s="676"/>
      <c r="M75" s="676"/>
      <c r="N75" s="676"/>
      <c r="O75" s="676"/>
    </row>
  </sheetData>
  <sheetProtection sheet="1" objects="1" scenarios="1" selectLockedCells="1"/>
  <mergeCells count="8">
    <mergeCell ref="C16:E17"/>
    <mergeCell ref="C18:E19"/>
    <mergeCell ref="A71:A74"/>
    <mergeCell ref="A2:A8"/>
    <mergeCell ref="A21:A24"/>
    <mergeCell ref="A26:A32"/>
    <mergeCell ref="A44:A47"/>
    <mergeCell ref="A49:A55"/>
  </mergeCells>
  <conditionalFormatting sqref="A16:C16 A17:B17 A18:C18 A19:B19 F16:XFD19 A20:XFD1048576 A1:XFD15">
    <cfRule type="cellIs" dxfId="6" priority="1" operator="equal">
      <formula>"N/A"</formula>
    </cfRule>
  </conditionalFormatting>
  <hyperlinks>
    <hyperlink ref="O2" location="ToC!A1" display="Return to Table of Contents"/>
    <hyperlink ref="O26" location="ToC!A1" display="Return to Table of Contents"/>
    <hyperlink ref="O49" location="ToC!A1" display="Return to Table of Contents"/>
  </hyperlinks>
  <printOptions verticalCentered="1"/>
  <pageMargins left="0.5" right="0.5" top="0" bottom="0" header="0.3" footer="0.3"/>
  <pageSetup paperSize="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9FF"/>
  </sheetPr>
  <dimension ref="A1:O54"/>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50"/>
      <c r="B1" s="13"/>
      <c r="C1" s="13"/>
      <c r="D1" s="13"/>
      <c r="E1" s="13"/>
    </row>
    <row r="2" spans="1:15" ht="32.4" customHeight="1" x14ac:dyDescent="0.3">
      <c r="A2" s="887" t="s">
        <v>11</v>
      </c>
      <c r="B2" s="13"/>
      <c r="C2" s="34" t="s">
        <v>64</v>
      </c>
      <c r="D2" s="13"/>
      <c r="E2" s="13"/>
      <c r="O2" s="328" t="s">
        <v>34</v>
      </c>
    </row>
    <row r="3" spans="1:15" ht="25.8" customHeight="1" x14ac:dyDescent="0.5">
      <c r="A3" s="887"/>
      <c r="B3" s="13"/>
      <c r="C3" s="35" t="s">
        <v>371</v>
      </c>
      <c r="D3" s="13"/>
      <c r="E3" s="13"/>
    </row>
    <row r="4" spans="1:15" ht="25.8" customHeight="1" x14ac:dyDescent="0.5">
      <c r="A4" s="887"/>
      <c r="B4" s="13"/>
      <c r="C4" s="35" t="str">
        <f>"COST (EST.): "&amp;TEXT(SUM(N10:N11),"$0,000.00")</f>
        <v>COST (EST.): $4,266.00</v>
      </c>
      <c r="D4" s="13"/>
      <c r="E4" s="13"/>
    </row>
    <row r="5" spans="1:15" ht="72" customHeight="1" x14ac:dyDescent="0.3">
      <c r="A5" s="887"/>
      <c r="B5" s="13"/>
      <c r="C5" s="13"/>
      <c r="D5" s="13"/>
      <c r="E5" s="13"/>
    </row>
    <row r="6" spans="1:15" ht="72" customHeight="1" x14ac:dyDescent="0.3">
      <c r="A6" s="887"/>
      <c r="B6" s="13"/>
      <c r="C6" s="13"/>
      <c r="D6" s="13"/>
      <c r="E6" s="13"/>
    </row>
    <row r="7" spans="1:15" ht="72" customHeight="1" x14ac:dyDescent="0.3">
      <c r="A7" s="887"/>
      <c r="B7" s="13"/>
      <c r="C7" s="13"/>
      <c r="D7" s="13"/>
      <c r="E7" s="13"/>
    </row>
    <row r="8" spans="1:15" ht="72" customHeight="1" x14ac:dyDescent="0.3">
      <c r="A8" s="887"/>
      <c r="B8" s="13"/>
      <c r="C8" s="13"/>
      <c r="D8" s="13"/>
      <c r="E8" s="13"/>
    </row>
    <row r="9" spans="1:15" s="4" customFormat="1" ht="18" customHeight="1" x14ac:dyDescent="0.3">
      <c r="A9" s="11"/>
      <c r="B9" s="16"/>
      <c r="C9" s="10" t="s">
        <v>1</v>
      </c>
      <c r="D9" s="5"/>
      <c r="E9" s="17" t="s">
        <v>2</v>
      </c>
      <c r="F9" s="17" t="s">
        <v>3</v>
      </c>
      <c r="G9" s="10" t="s">
        <v>4</v>
      </c>
      <c r="H9" s="10" t="s">
        <v>5</v>
      </c>
      <c r="I9" s="10" t="s">
        <v>6</v>
      </c>
      <c r="J9" s="18" t="s">
        <v>7</v>
      </c>
      <c r="K9" s="10" t="s">
        <v>8</v>
      </c>
      <c r="L9" s="5"/>
      <c r="M9" s="18" t="s">
        <v>283</v>
      </c>
      <c r="N9" s="18" t="s">
        <v>352</v>
      </c>
      <c r="O9" s="10" t="s">
        <v>10</v>
      </c>
    </row>
    <row r="10" spans="1:15" s="8" customFormat="1" ht="34.5" customHeight="1" x14ac:dyDescent="0.3">
      <c r="A10" s="12"/>
      <c r="B10" s="15"/>
      <c r="C10" s="19" t="s">
        <v>13</v>
      </c>
      <c r="D10" s="48" t="s">
        <v>66</v>
      </c>
      <c r="E10" s="31">
        <v>6</v>
      </c>
      <c r="F10" s="28">
        <v>1</v>
      </c>
      <c r="G10" s="37" t="s">
        <v>67</v>
      </c>
      <c r="H10" s="23" t="s">
        <v>40</v>
      </c>
      <c r="I10" s="37" t="s">
        <v>56</v>
      </c>
      <c r="J10" s="22" t="s">
        <v>68</v>
      </c>
      <c r="K10" s="23" t="s">
        <v>30</v>
      </c>
      <c r="L10" s="23"/>
      <c r="M10" s="185">
        <v>4713.3599999999997</v>
      </c>
      <c r="N10" s="185">
        <f>ROUNDUP(M10*0.6, 0)</f>
        <v>2829</v>
      </c>
      <c r="O10" s="23" t="s">
        <v>309</v>
      </c>
    </row>
    <row r="11" spans="1:15" s="8" customFormat="1" ht="34.5" customHeight="1" thickBot="1" x14ac:dyDescent="0.35">
      <c r="A11" s="12"/>
      <c r="B11" s="15"/>
      <c r="C11" s="21" t="s">
        <v>14</v>
      </c>
      <c r="D11" s="50" t="s">
        <v>69</v>
      </c>
      <c r="E11" s="33" t="s">
        <v>18</v>
      </c>
      <c r="F11" s="30">
        <v>7</v>
      </c>
      <c r="G11" s="27" t="s">
        <v>36</v>
      </c>
      <c r="H11" s="27" t="s">
        <v>36</v>
      </c>
      <c r="I11" s="27" t="s">
        <v>36</v>
      </c>
      <c r="J11" s="26" t="s">
        <v>70</v>
      </c>
      <c r="K11" s="27" t="s">
        <v>29</v>
      </c>
      <c r="L11" s="27"/>
      <c r="M11" s="187">
        <v>2394</v>
      </c>
      <c r="N11" s="187">
        <f>ROUNDUP(M11*0.6, 0)</f>
        <v>1437</v>
      </c>
      <c r="O11" s="27" t="s">
        <v>36</v>
      </c>
    </row>
    <row r="12" spans="1:15" s="8" customFormat="1" ht="18" customHeight="1" x14ac:dyDescent="0.3">
      <c r="A12" s="12"/>
      <c r="B12" s="15"/>
      <c r="C12" s="15"/>
      <c r="D12" s="15"/>
      <c r="E12" s="15"/>
      <c r="O12" s="318" t="s">
        <v>385</v>
      </c>
    </row>
    <row r="13" spans="1:15" s="8" customFormat="1" ht="18" customHeight="1" x14ac:dyDescent="0.3">
      <c r="A13" s="12"/>
      <c r="B13" s="15"/>
      <c r="C13" s="15"/>
      <c r="D13" s="15"/>
      <c r="E13" s="15"/>
      <c r="O13" s="163" t="s">
        <v>389</v>
      </c>
    </row>
    <row r="14" spans="1:15" s="8" customFormat="1" ht="18" customHeight="1" x14ac:dyDescent="0.3">
      <c r="A14" s="12"/>
      <c r="B14" s="15"/>
      <c r="C14" s="15"/>
      <c r="D14" s="15"/>
      <c r="E14" s="15"/>
    </row>
    <row r="15" spans="1:15" s="8" customFormat="1" ht="18" customHeight="1" x14ac:dyDescent="0.3">
      <c r="A15" s="12"/>
      <c r="B15" s="15"/>
      <c r="C15" s="15"/>
      <c r="D15" s="15"/>
      <c r="E15" s="15"/>
    </row>
    <row r="16" spans="1:15" s="8" customFormat="1" ht="18" customHeight="1" x14ac:dyDescent="0.3">
      <c r="A16" s="12"/>
      <c r="B16" s="15"/>
      <c r="C16" s="15"/>
      <c r="D16" s="15"/>
      <c r="E16" s="15"/>
    </row>
    <row r="17" spans="1:15" s="8" customFormat="1" ht="18" customHeight="1" x14ac:dyDescent="0.3">
      <c r="A17" s="12"/>
      <c r="B17" s="15"/>
      <c r="C17" s="15"/>
      <c r="D17" s="15"/>
      <c r="E17" s="15"/>
    </row>
    <row r="18" spans="1:15" s="8" customFormat="1" ht="18" customHeight="1" x14ac:dyDescent="0.3">
      <c r="A18" s="12"/>
      <c r="B18" s="15"/>
      <c r="C18" s="15"/>
      <c r="D18" s="15"/>
      <c r="E18" s="15"/>
    </row>
    <row r="19" spans="1:15" s="8" customFormat="1" ht="18" customHeight="1" x14ac:dyDescent="0.3">
      <c r="A19" s="12"/>
      <c r="B19" s="15"/>
      <c r="C19" s="15"/>
      <c r="D19" s="15"/>
      <c r="E19" s="15"/>
    </row>
    <row r="20" spans="1:15" s="8" customFormat="1" ht="18" customHeight="1" x14ac:dyDescent="0.3">
      <c r="A20" s="12"/>
      <c r="B20" s="15"/>
      <c r="C20" s="15"/>
      <c r="D20" s="15"/>
      <c r="E20" s="15"/>
    </row>
    <row r="21" spans="1:15" s="8" customFormat="1" ht="18" customHeight="1" x14ac:dyDescent="0.3">
      <c r="A21" s="12"/>
      <c r="B21" s="15"/>
      <c r="C21" s="15"/>
      <c r="D21" s="15"/>
      <c r="E21" s="15"/>
    </row>
    <row r="22" spans="1:15" s="8" customFormat="1" ht="18" customHeight="1" x14ac:dyDescent="0.3">
      <c r="A22" s="12"/>
      <c r="B22" s="15"/>
      <c r="C22" s="15"/>
      <c r="D22" s="15"/>
      <c r="E22" s="15"/>
    </row>
    <row r="23" spans="1:15" s="8" customFormat="1" ht="18" customHeight="1" x14ac:dyDescent="0.3">
      <c r="A23" s="12"/>
      <c r="B23" s="15"/>
      <c r="C23" s="15"/>
      <c r="D23" s="15"/>
      <c r="E23" s="15"/>
    </row>
    <row r="24" spans="1:15" s="8" customFormat="1" ht="18" customHeight="1" x14ac:dyDescent="0.3">
      <c r="A24" s="888" t="s">
        <v>0</v>
      </c>
      <c r="B24" s="15"/>
      <c r="C24" s="15"/>
      <c r="D24" s="15"/>
      <c r="E24" s="15"/>
    </row>
    <row r="25" spans="1:15" s="8" customFormat="1" ht="18" customHeight="1" x14ac:dyDescent="0.3">
      <c r="A25" s="888"/>
      <c r="B25" s="15"/>
      <c r="C25" s="15"/>
      <c r="D25" s="15"/>
      <c r="E25" s="15"/>
    </row>
    <row r="26" spans="1:15" s="8" customFormat="1" ht="18" customHeight="1" x14ac:dyDescent="0.3">
      <c r="A26" s="888"/>
      <c r="B26" s="15"/>
      <c r="C26" s="15"/>
      <c r="D26" s="15"/>
      <c r="E26" s="15"/>
    </row>
    <row r="27" spans="1:15" s="8" customFormat="1" ht="18" customHeight="1" thickBot="1" x14ac:dyDescent="0.35">
      <c r="A27" s="888"/>
      <c r="B27" s="15"/>
      <c r="C27" s="15"/>
      <c r="D27" s="15"/>
      <c r="E27" s="15"/>
    </row>
    <row r="28" spans="1:15" ht="35.25" customHeight="1" x14ac:dyDescent="0.3">
      <c r="A28" s="674"/>
      <c r="B28" s="675"/>
      <c r="C28" s="675"/>
      <c r="D28" s="675"/>
      <c r="E28" s="675"/>
      <c r="F28" s="676"/>
      <c r="G28" s="676"/>
      <c r="H28" s="676"/>
      <c r="I28" s="676"/>
      <c r="J28" s="676"/>
      <c r="K28" s="676"/>
      <c r="L28" s="676"/>
      <c r="M28" s="676"/>
      <c r="N28" s="676"/>
      <c r="O28" s="676"/>
    </row>
    <row r="29" spans="1:15" ht="32.4" customHeight="1" x14ac:dyDescent="0.3">
      <c r="A29" s="887" t="s">
        <v>11</v>
      </c>
      <c r="B29" s="13"/>
      <c r="C29" s="34" t="s">
        <v>65</v>
      </c>
      <c r="D29" s="13"/>
      <c r="E29" s="13"/>
      <c r="O29" s="328" t="s">
        <v>34</v>
      </c>
    </row>
    <row r="30" spans="1:15" ht="25.8" customHeight="1" x14ac:dyDescent="0.5">
      <c r="A30" s="887"/>
      <c r="B30" s="13"/>
      <c r="C30" s="35" t="s">
        <v>486</v>
      </c>
      <c r="D30" s="13"/>
      <c r="E30" s="13"/>
    </row>
    <row r="31" spans="1:15" ht="25.8" customHeight="1" x14ac:dyDescent="0.5">
      <c r="A31" s="887"/>
      <c r="B31" s="13"/>
      <c r="C31" s="35" t="str">
        <f>"COST (EST.): "&amp;TEXT(SUM(N37:N39),"$0,000.00")</f>
        <v>COST (EST.): $6,065.00</v>
      </c>
      <c r="D31" s="13"/>
      <c r="E31" s="13"/>
    </row>
    <row r="32" spans="1:15" ht="72" customHeight="1" x14ac:dyDescent="0.3">
      <c r="A32" s="887"/>
      <c r="B32" s="13"/>
      <c r="C32" s="13"/>
      <c r="D32" s="13"/>
      <c r="E32" s="13"/>
    </row>
    <row r="33" spans="1:15" ht="72" customHeight="1" x14ac:dyDescent="0.3">
      <c r="A33" s="887"/>
      <c r="B33" s="13"/>
      <c r="C33" s="13"/>
      <c r="D33" s="13"/>
      <c r="E33" s="13"/>
    </row>
    <row r="34" spans="1:15" ht="72" customHeight="1" x14ac:dyDescent="0.3">
      <c r="A34" s="887"/>
      <c r="B34" s="13"/>
      <c r="C34" s="13"/>
      <c r="D34" s="13"/>
      <c r="E34" s="13"/>
    </row>
    <row r="35" spans="1:15" ht="72" customHeight="1" x14ac:dyDescent="0.3">
      <c r="A35" s="887"/>
      <c r="B35" s="13"/>
      <c r="C35" s="13"/>
      <c r="D35" s="13"/>
      <c r="E35" s="13"/>
    </row>
    <row r="36" spans="1:15" s="4" customFormat="1" ht="18" customHeight="1" x14ac:dyDescent="0.3">
      <c r="A36" s="11"/>
      <c r="B36" s="16"/>
      <c r="C36" s="10" t="s">
        <v>1</v>
      </c>
      <c r="D36" s="5"/>
      <c r="E36" s="17" t="s">
        <v>2</v>
      </c>
      <c r="F36" s="17" t="s">
        <v>3</v>
      </c>
      <c r="G36" s="10" t="s">
        <v>4</v>
      </c>
      <c r="H36" s="10" t="s">
        <v>5</v>
      </c>
      <c r="I36" s="10" t="s">
        <v>6</v>
      </c>
      <c r="J36" s="18" t="s">
        <v>7</v>
      </c>
      <c r="K36" s="10" t="s">
        <v>8</v>
      </c>
      <c r="L36" s="5"/>
      <c r="M36" s="18" t="s">
        <v>283</v>
      </c>
      <c r="N36" s="18" t="s">
        <v>352</v>
      </c>
      <c r="O36" s="10" t="s">
        <v>10</v>
      </c>
    </row>
    <row r="37" spans="1:15" s="8" customFormat="1" ht="34.5" customHeight="1" x14ac:dyDescent="0.3">
      <c r="A37" s="12"/>
      <c r="B37" s="15"/>
      <c r="C37" s="19" t="s">
        <v>13</v>
      </c>
      <c r="D37" s="94" t="s">
        <v>24</v>
      </c>
      <c r="E37" s="31">
        <v>6</v>
      </c>
      <c r="F37" s="28">
        <v>1</v>
      </c>
      <c r="G37" s="46" t="s">
        <v>36</v>
      </c>
      <c r="H37" s="46" t="s">
        <v>40</v>
      </c>
      <c r="I37" s="46" t="s">
        <v>42</v>
      </c>
      <c r="J37" s="47" t="s">
        <v>72</v>
      </c>
      <c r="K37" s="41" t="s">
        <v>30</v>
      </c>
      <c r="L37" s="41"/>
      <c r="M37" s="191">
        <v>1117</v>
      </c>
      <c r="N37" s="185">
        <f>ROUNDUP(M37*0.6, 0)</f>
        <v>671</v>
      </c>
      <c r="O37" s="23" t="s">
        <v>310</v>
      </c>
    </row>
    <row r="38" spans="1:15" s="8" customFormat="1" ht="34.5" customHeight="1" x14ac:dyDescent="0.3">
      <c r="A38" s="12"/>
      <c r="B38" s="15"/>
      <c r="C38" s="20" t="s">
        <v>14</v>
      </c>
      <c r="D38" s="49" t="s">
        <v>69</v>
      </c>
      <c r="E38" s="32" t="s">
        <v>18</v>
      </c>
      <c r="F38" s="29">
        <v>4</v>
      </c>
      <c r="G38" s="25" t="s">
        <v>36</v>
      </c>
      <c r="H38" s="25" t="s">
        <v>36</v>
      </c>
      <c r="I38" s="38" t="s">
        <v>36</v>
      </c>
      <c r="J38" s="42" t="s">
        <v>70</v>
      </c>
      <c r="K38" s="43" t="s">
        <v>29</v>
      </c>
      <c r="L38" s="43"/>
      <c r="M38" s="192">
        <v>1368</v>
      </c>
      <c r="N38" s="185">
        <f>ROUNDUP(M38*0.6, 0)</f>
        <v>821</v>
      </c>
      <c r="O38" s="25" t="s">
        <v>36</v>
      </c>
    </row>
    <row r="39" spans="1:15" s="8" customFormat="1" ht="34.5" customHeight="1" thickBot="1" x14ac:dyDescent="0.35">
      <c r="A39" s="12"/>
      <c r="B39" s="15"/>
      <c r="C39" s="21" t="s">
        <v>15</v>
      </c>
      <c r="D39" s="95" t="s">
        <v>71</v>
      </c>
      <c r="E39" s="33">
        <v>6</v>
      </c>
      <c r="F39" s="30">
        <v>2</v>
      </c>
      <c r="G39" s="27" t="s">
        <v>36</v>
      </c>
      <c r="H39" s="27" t="s">
        <v>36</v>
      </c>
      <c r="I39" s="27" t="s">
        <v>36</v>
      </c>
      <c r="J39" s="52" t="s">
        <v>73</v>
      </c>
      <c r="K39" s="45" t="s">
        <v>36</v>
      </c>
      <c r="L39" s="45"/>
      <c r="M39" s="193">
        <v>7620.91</v>
      </c>
      <c r="N39" s="188">
        <f>ROUNDUP(M39*0.6, 0)</f>
        <v>4573</v>
      </c>
      <c r="O39" s="27" t="s">
        <v>278</v>
      </c>
    </row>
    <row r="40" spans="1:15" s="8" customFormat="1" ht="18" customHeight="1" x14ac:dyDescent="0.3">
      <c r="A40" s="12"/>
      <c r="B40" s="15"/>
      <c r="C40" s="15"/>
      <c r="D40" s="15"/>
      <c r="E40" s="15"/>
      <c r="O40" s="318" t="s">
        <v>385</v>
      </c>
    </row>
    <row r="41" spans="1:15" s="8" customFormat="1" ht="18" customHeight="1" x14ac:dyDescent="0.3">
      <c r="A41" s="12"/>
      <c r="B41" s="15"/>
      <c r="C41" s="15"/>
      <c r="D41" s="15"/>
      <c r="E41" s="15"/>
      <c r="O41" s="163" t="s">
        <v>389</v>
      </c>
    </row>
    <row r="42" spans="1:15" s="8" customFormat="1" ht="18" customHeight="1" x14ac:dyDescent="0.3">
      <c r="A42" s="12"/>
      <c r="B42" s="15"/>
      <c r="C42" s="15"/>
      <c r="D42" s="15"/>
      <c r="E42" s="15"/>
    </row>
    <row r="43" spans="1:15" s="8" customFormat="1" ht="18" customHeight="1" x14ac:dyDescent="0.3">
      <c r="A43" s="12"/>
      <c r="B43" s="15"/>
      <c r="C43" s="15"/>
      <c r="D43" s="15"/>
      <c r="E43" s="15"/>
    </row>
    <row r="44" spans="1:15" s="8" customFormat="1" ht="18" customHeight="1" x14ac:dyDescent="0.3">
      <c r="A44" s="12"/>
      <c r="B44" s="15"/>
      <c r="C44" s="15"/>
      <c r="D44" s="15"/>
      <c r="E44" s="15"/>
    </row>
    <row r="45" spans="1:15" s="8" customFormat="1" ht="18" customHeight="1" x14ac:dyDescent="0.3">
      <c r="A45" s="12"/>
      <c r="B45" s="15"/>
      <c r="C45" s="15"/>
      <c r="D45" s="15"/>
      <c r="E45" s="15"/>
    </row>
    <row r="46" spans="1:15" s="8" customFormat="1" ht="18" customHeight="1" x14ac:dyDescent="0.3">
      <c r="A46" s="12"/>
      <c r="B46" s="15"/>
      <c r="C46" s="15"/>
      <c r="D46" s="15"/>
      <c r="E46" s="15"/>
    </row>
    <row r="47" spans="1:15" s="8" customFormat="1" ht="18" customHeight="1" x14ac:dyDescent="0.3">
      <c r="A47" s="12"/>
      <c r="B47" s="15"/>
      <c r="C47" s="15"/>
      <c r="D47" s="15"/>
      <c r="E47" s="15"/>
    </row>
    <row r="48" spans="1:15" s="8" customFormat="1" ht="18" customHeight="1" x14ac:dyDescent="0.3">
      <c r="A48" s="12"/>
      <c r="B48" s="15"/>
      <c r="C48" s="15"/>
      <c r="D48" s="15"/>
      <c r="E48" s="15"/>
    </row>
    <row r="49" spans="1:15" s="8" customFormat="1" ht="18" customHeight="1" x14ac:dyDescent="0.3">
      <c r="A49" s="12"/>
      <c r="B49" s="15"/>
      <c r="C49" s="15"/>
      <c r="D49" s="15"/>
      <c r="E49" s="15"/>
    </row>
    <row r="50" spans="1:15" s="8" customFormat="1" ht="18" customHeight="1" x14ac:dyDescent="0.3">
      <c r="A50" s="888" t="s">
        <v>32</v>
      </c>
      <c r="B50" s="15"/>
      <c r="C50" s="15"/>
      <c r="D50" s="15"/>
      <c r="E50" s="15"/>
    </row>
    <row r="51" spans="1:15" s="8" customFormat="1" ht="18" customHeight="1" x14ac:dyDescent="0.3">
      <c r="A51" s="888"/>
      <c r="B51" s="15"/>
      <c r="C51" s="15"/>
      <c r="D51" s="15"/>
      <c r="E51" s="15"/>
    </row>
    <row r="52" spans="1:15" s="8" customFormat="1" ht="18" customHeight="1" x14ac:dyDescent="0.3">
      <c r="A52" s="888"/>
      <c r="B52" s="15"/>
      <c r="C52" s="15"/>
      <c r="D52" s="15"/>
      <c r="E52" s="15"/>
    </row>
    <row r="53" spans="1:15" s="8" customFormat="1" ht="18" customHeight="1" thickBot="1" x14ac:dyDescent="0.35">
      <c r="A53" s="888"/>
      <c r="B53" s="15"/>
      <c r="C53" s="15"/>
      <c r="D53" s="15"/>
      <c r="E53" s="15"/>
    </row>
    <row r="54" spans="1:15" ht="18" customHeight="1" x14ac:dyDescent="0.3">
      <c r="A54" s="676"/>
      <c r="B54" s="676"/>
      <c r="C54" s="676"/>
      <c r="D54" s="676"/>
      <c r="E54" s="676"/>
      <c r="F54" s="676"/>
      <c r="G54" s="676"/>
      <c r="H54" s="676"/>
      <c r="I54" s="676"/>
      <c r="J54" s="676"/>
      <c r="K54" s="676"/>
      <c r="L54" s="676"/>
      <c r="M54" s="676"/>
      <c r="N54" s="676"/>
      <c r="O54" s="676"/>
    </row>
  </sheetData>
  <sheetProtection sheet="1" objects="1" scenarios="1" selectLockedCells="1"/>
  <mergeCells count="4">
    <mergeCell ref="A2:A8"/>
    <mergeCell ref="A24:A27"/>
    <mergeCell ref="A29:A35"/>
    <mergeCell ref="A50:A53"/>
  </mergeCells>
  <conditionalFormatting sqref="A1:XFD1048576">
    <cfRule type="cellIs" dxfId="5" priority="1" operator="equal">
      <formula>"N/A"</formula>
    </cfRule>
  </conditionalFormatting>
  <hyperlinks>
    <hyperlink ref="O2" location="ToC!A1" display="Return to Table of Contents"/>
    <hyperlink ref="O29" location="ToC!A1" display="Return to Table of Contents"/>
  </hyperlinks>
  <printOptions verticalCentered="1"/>
  <pageMargins left="0.5" right="0.5" top="0" bottom="0" header="0.3" footer="0.3"/>
  <pageSetup paperSize="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24"/>
  <sheetViews>
    <sheetView showGridLines="0" zoomScaleNormal="100"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5"/>
      <c r="B1" s="1"/>
      <c r="C1" s="1"/>
      <c r="D1" s="1"/>
      <c r="E1" s="1"/>
    </row>
    <row r="2" spans="1:15" ht="32.4" customHeight="1" x14ac:dyDescent="0.3">
      <c r="A2" s="891" t="s">
        <v>84</v>
      </c>
      <c r="B2" s="1"/>
      <c r="C2" s="143" t="s">
        <v>243</v>
      </c>
      <c r="D2" s="1"/>
      <c r="E2" s="1"/>
      <c r="O2" s="328" t="s">
        <v>34</v>
      </c>
    </row>
    <row r="3" spans="1:15" ht="25.8" customHeight="1" x14ac:dyDescent="0.5">
      <c r="A3" s="891"/>
      <c r="B3" s="1"/>
      <c r="C3" s="230" t="s">
        <v>368</v>
      </c>
      <c r="D3" s="1"/>
      <c r="E3" s="1"/>
    </row>
    <row r="4" spans="1:15" ht="25.8" customHeight="1" x14ac:dyDescent="0.5">
      <c r="A4" s="891"/>
      <c r="B4" s="1"/>
      <c r="C4" s="290" t="str">
        <f>"COST (EST.): "&amp;TEXT(SUM(N10:N15),"$0,000.00")</f>
        <v>COST (EST.): $7,781.00</v>
      </c>
      <c r="D4" s="1"/>
      <c r="E4" s="1"/>
    </row>
    <row r="5" spans="1:15" ht="72" customHeight="1" x14ac:dyDescent="0.3">
      <c r="A5" s="891"/>
      <c r="B5" s="1"/>
      <c r="C5" s="1"/>
      <c r="D5" s="1"/>
      <c r="E5" s="1"/>
    </row>
    <row r="6" spans="1:15" ht="72" customHeight="1" x14ac:dyDescent="0.3">
      <c r="A6" s="891"/>
      <c r="B6" s="1"/>
      <c r="C6" s="1"/>
      <c r="D6" s="1"/>
      <c r="E6" s="1"/>
    </row>
    <row r="7" spans="1:15" ht="72" customHeight="1" x14ac:dyDescent="0.3">
      <c r="A7" s="891"/>
      <c r="B7" s="1"/>
      <c r="C7" s="1"/>
      <c r="D7" s="1"/>
      <c r="E7" s="1"/>
    </row>
    <row r="8" spans="1:15" ht="72" customHeight="1" x14ac:dyDescent="0.3">
      <c r="A8" s="891"/>
      <c r="B8" s="1"/>
      <c r="C8" s="1"/>
      <c r="D8" s="1"/>
      <c r="E8" s="1"/>
    </row>
    <row r="9" spans="1:15" s="4" customFormat="1" ht="18" customHeight="1" thickBot="1" x14ac:dyDescent="0.35">
      <c r="A9" s="2"/>
      <c r="B9" s="3"/>
      <c r="C9" s="198" t="s">
        <v>1</v>
      </c>
      <c r="D9" s="199"/>
      <c r="E9" s="224" t="s">
        <v>2</v>
      </c>
      <c r="F9" s="224" t="s">
        <v>3</v>
      </c>
      <c r="G9" s="198" t="s">
        <v>4</v>
      </c>
      <c r="H9" s="198" t="s">
        <v>5</v>
      </c>
      <c r="I9" s="198" t="s">
        <v>6</v>
      </c>
      <c r="J9" s="225" t="s">
        <v>7</v>
      </c>
      <c r="K9" s="198" t="s">
        <v>8</v>
      </c>
      <c r="L9" s="199"/>
      <c r="M9" s="225" t="s">
        <v>283</v>
      </c>
      <c r="N9" s="225" t="s">
        <v>9</v>
      </c>
      <c r="O9" s="198" t="s">
        <v>10</v>
      </c>
    </row>
    <row r="10" spans="1:15" s="8" customFormat="1" ht="34.5" customHeight="1" x14ac:dyDescent="0.3">
      <c r="A10" s="6"/>
      <c r="B10" s="7"/>
      <c r="C10" s="19" t="s">
        <v>13</v>
      </c>
      <c r="D10" s="97" t="s">
        <v>244</v>
      </c>
      <c r="E10" s="688" t="s">
        <v>19</v>
      </c>
      <c r="F10" s="231">
        <v>1</v>
      </c>
      <c r="G10" s="124" t="s">
        <v>249</v>
      </c>
      <c r="H10" s="40" t="s">
        <v>41</v>
      </c>
      <c r="I10" s="124" t="s">
        <v>133</v>
      </c>
      <c r="J10" s="232" t="s">
        <v>319</v>
      </c>
      <c r="K10" s="40" t="s">
        <v>30</v>
      </c>
      <c r="L10" s="40"/>
      <c r="M10" s="233">
        <v>900</v>
      </c>
      <c r="N10" s="226">
        <f>ROUNDUP(M10*0.8, 0)</f>
        <v>720</v>
      </c>
      <c r="O10" s="40" t="s">
        <v>36</v>
      </c>
    </row>
    <row r="11" spans="1:15" s="8" customFormat="1" ht="34.5" customHeight="1" x14ac:dyDescent="0.3">
      <c r="A11" s="6"/>
      <c r="B11" s="7"/>
      <c r="C11" s="20" t="s">
        <v>14</v>
      </c>
      <c r="D11" s="49" t="s">
        <v>132</v>
      </c>
      <c r="E11" s="150">
        <v>6</v>
      </c>
      <c r="F11" s="151">
        <v>4</v>
      </c>
      <c r="G11" s="109" t="s">
        <v>160</v>
      </c>
      <c r="H11" s="25" t="s">
        <v>36</v>
      </c>
      <c r="I11" s="109" t="s">
        <v>133</v>
      </c>
      <c r="J11" s="152" t="s">
        <v>134</v>
      </c>
      <c r="K11" s="25" t="s">
        <v>135</v>
      </c>
      <c r="L11" s="25"/>
      <c r="M11" s="228">
        <v>1089.24</v>
      </c>
      <c r="N11" s="226">
        <f t="shared" ref="N11:N15" si="0">ROUNDUP(M11*0.6, 0)</f>
        <v>654</v>
      </c>
      <c r="O11" s="25" t="s">
        <v>298</v>
      </c>
    </row>
    <row r="12" spans="1:15" s="8" customFormat="1" ht="34.5" customHeight="1" x14ac:dyDescent="0.3">
      <c r="A12" s="6"/>
      <c r="B12" s="7"/>
      <c r="C12" s="20" t="s">
        <v>15</v>
      </c>
      <c r="D12" s="49" t="s">
        <v>24</v>
      </c>
      <c r="E12" s="150">
        <v>6</v>
      </c>
      <c r="F12" s="151">
        <v>1</v>
      </c>
      <c r="G12" s="109" t="s">
        <v>130</v>
      </c>
      <c r="H12" s="25" t="s">
        <v>123</v>
      </c>
      <c r="I12" s="109" t="s">
        <v>247</v>
      </c>
      <c r="J12" s="152" t="s">
        <v>246</v>
      </c>
      <c r="K12" s="25" t="s">
        <v>30</v>
      </c>
      <c r="L12" s="25"/>
      <c r="M12" s="228">
        <v>2779.5</v>
      </c>
      <c r="N12" s="226">
        <f t="shared" si="0"/>
        <v>1668</v>
      </c>
      <c r="O12" s="25" t="s">
        <v>276</v>
      </c>
    </row>
    <row r="13" spans="1:15" s="8" customFormat="1" ht="34.5" customHeight="1" x14ac:dyDescent="0.3">
      <c r="A13" s="6"/>
      <c r="B13" s="7"/>
      <c r="C13" s="20" t="s">
        <v>16</v>
      </c>
      <c r="D13" s="49" t="s">
        <v>47</v>
      </c>
      <c r="E13" s="150">
        <v>6</v>
      </c>
      <c r="F13" s="151">
        <v>4</v>
      </c>
      <c r="G13" s="109" t="s">
        <v>36</v>
      </c>
      <c r="H13" s="25" t="s">
        <v>248</v>
      </c>
      <c r="I13" s="109" t="s">
        <v>54</v>
      </c>
      <c r="J13" s="152" t="s">
        <v>107</v>
      </c>
      <c r="K13" s="25" t="s">
        <v>114</v>
      </c>
      <c r="L13" s="25"/>
      <c r="M13" s="228">
        <v>3209.76</v>
      </c>
      <c r="N13" s="226">
        <f t="shared" si="0"/>
        <v>1926</v>
      </c>
      <c r="O13" s="25" t="s">
        <v>267</v>
      </c>
    </row>
    <row r="14" spans="1:15" s="8" customFormat="1" ht="34.5" customHeight="1" x14ac:dyDescent="0.3">
      <c r="A14" s="6"/>
      <c r="B14" s="7"/>
      <c r="C14" s="20" t="s">
        <v>17</v>
      </c>
      <c r="D14" s="49" t="s">
        <v>315</v>
      </c>
      <c r="E14" s="150" t="s">
        <v>19</v>
      </c>
      <c r="F14" s="151">
        <v>1</v>
      </c>
      <c r="G14" s="109" t="s">
        <v>36</v>
      </c>
      <c r="H14" s="25" t="s">
        <v>36</v>
      </c>
      <c r="I14" s="109" t="s">
        <v>317</v>
      </c>
      <c r="J14" s="424" t="s">
        <v>36</v>
      </c>
      <c r="K14" s="25" t="s">
        <v>318</v>
      </c>
      <c r="L14" s="25"/>
      <c r="M14" s="228">
        <v>350</v>
      </c>
      <c r="N14" s="228">
        <f t="shared" si="0"/>
        <v>210</v>
      </c>
      <c r="O14" s="25" t="s">
        <v>36</v>
      </c>
    </row>
    <row r="15" spans="1:15" s="8" customFormat="1" ht="34.5" customHeight="1" thickBot="1" x14ac:dyDescent="0.35">
      <c r="A15" s="6"/>
      <c r="B15" s="7"/>
      <c r="C15" s="239" t="s">
        <v>46</v>
      </c>
      <c r="D15" s="240" t="s">
        <v>316</v>
      </c>
      <c r="E15" s="425">
        <v>3</v>
      </c>
      <c r="F15" s="426">
        <v>4</v>
      </c>
      <c r="G15" s="365" t="s">
        <v>41</v>
      </c>
      <c r="H15" s="244" t="s">
        <v>145</v>
      </c>
      <c r="I15" s="365" t="s">
        <v>36</v>
      </c>
      <c r="J15" s="427" t="s">
        <v>245</v>
      </c>
      <c r="K15" s="244" t="s">
        <v>242</v>
      </c>
      <c r="L15" s="244"/>
      <c r="M15" s="229">
        <v>4337.12</v>
      </c>
      <c r="N15" s="229">
        <f t="shared" si="0"/>
        <v>2603</v>
      </c>
      <c r="O15" s="244" t="s">
        <v>320</v>
      </c>
    </row>
    <row r="16" spans="1:15" s="8" customFormat="1" ht="18" customHeight="1" x14ac:dyDescent="0.3">
      <c r="A16" s="6"/>
      <c r="B16" s="7"/>
      <c r="C16" s="7"/>
      <c r="D16" s="7"/>
      <c r="E16" s="7"/>
      <c r="O16" s="318" t="s">
        <v>385</v>
      </c>
    </row>
    <row r="17" spans="1:15" s="8" customFormat="1" ht="18" customHeight="1" x14ac:dyDescent="0.3">
      <c r="A17" s="6"/>
      <c r="B17" s="7"/>
      <c r="C17" s="7"/>
      <c r="D17" s="7"/>
      <c r="E17" s="7"/>
    </row>
    <row r="18" spans="1:15" s="8" customFormat="1" ht="18" customHeight="1" x14ac:dyDescent="0.3">
      <c r="A18" s="6"/>
      <c r="B18" s="7"/>
      <c r="C18" s="7"/>
      <c r="D18" s="7"/>
      <c r="E18" s="7"/>
    </row>
    <row r="19" spans="1:15" s="8" customFormat="1" ht="18" customHeight="1" x14ac:dyDescent="0.3">
      <c r="A19" s="6"/>
      <c r="B19" s="7"/>
      <c r="C19" s="7"/>
      <c r="D19" s="7"/>
      <c r="E19" s="7"/>
    </row>
    <row r="20" spans="1:15" s="8" customFormat="1" ht="18" customHeight="1" x14ac:dyDescent="0.3">
      <c r="A20" s="892" t="s">
        <v>0</v>
      </c>
      <c r="B20" s="7"/>
      <c r="C20" s="7"/>
      <c r="D20" s="7"/>
      <c r="E20" s="7"/>
    </row>
    <row r="21" spans="1:15" s="8" customFormat="1" ht="18" customHeight="1" x14ac:dyDescent="0.3">
      <c r="A21" s="892"/>
      <c r="B21" s="7"/>
      <c r="C21" s="7"/>
      <c r="D21" s="7"/>
      <c r="E21" s="7"/>
    </row>
    <row r="22" spans="1:15" s="8" customFormat="1" ht="18" customHeight="1" x14ac:dyDescent="0.3">
      <c r="A22" s="892"/>
      <c r="B22" s="7"/>
      <c r="C22" s="7"/>
      <c r="D22" s="7"/>
      <c r="E22" s="7"/>
    </row>
    <row r="23" spans="1:15" s="8" customFormat="1" ht="18" customHeight="1" thickBot="1" x14ac:dyDescent="0.35">
      <c r="A23" s="892"/>
      <c r="B23" s="7"/>
      <c r="C23" s="7"/>
      <c r="D23" s="7"/>
      <c r="E23" s="7"/>
    </row>
    <row r="24" spans="1:15" ht="18" customHeight="1" x14ac:dyDescent="0.3">
      <c r="A24" s="677"/>
      <c r="B24" s="677"/>
      <c r="C24" s="677"/>
      <c r="D24" s="677"/>
      <c r="E24" s="677"/>
      <c r="F24" s="677"/>
      <c r="G24" s="677"/>
      <c r="H24" s="677"/>
      <c r="I24" s="677"/>
      <c r="J24" s="677"/>
      <c r="K24" s="677"/>
      <c r="L24" s="677"/>
      <c r="M24" s="677"/>
      <c r="N24" s="677"/>
      <c r="O24" s="677"/>
    </row>
  </sheetData>
  <sheetProtection sheet="1" objects="1" scenarios="1" selectLockedCells="1"/>
  <mergeCells count="2">
    <mergeCell ref="A2:A8"/>
    <mergeCell ref="A20:A23"/>
  </mergeCells>
  <conditionalFormatting sqref="A1:XFD1048576">
    <cfRule type="cellIs" dxfId="4" priority="1" operator="equal">
      <formula>"N/A"</formula>
    </cfRule>
  </conditionalFormatting>
  <hyperlinks>
    <hyperlink ref="O2" location="ToC!A1" display="Return to Table of Contents"/>
  </hyperlinks>
  <printOptions verticalCentered="1"/>
  <pageMargins left="0.5" right="0.5" top="0" bottom="0" header="0.3" footer="0.3"/>
  <pageSetup paperSize="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22"/>
  <sheetViews>
    <sheetView showGridLines="0" zoomScaleNormal="100"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57"/>
      <c r="B1" s="292"/>
      <c r="C1" s="292"/>
      <c r="D1" s="292"/>
      <c r="E1" s="292"/>
    </row>
    <row r="2" spans="1:15" ht="32.4" customHeight="1" x14ac:dyDescent="0.3">
      <c r="A2" s="893" t="s">
        <v>496</v>
      </c>
      <c r="B2" s="292"/>
      <c r="C2" s="354" t="s">
        <v>384</v>
      </c>
      <c r="D2" s="292"/>
      <c r="E2" s="292"/>
      <c r="O2" s="328" t="s">
        <v>34</v>
      </c>
    </row>
    <row r="3" spans="1:15" ht="25.8" customHeight="1" x14ac:dyDescent="0.5">
      <c r="A3" s="850"/>
      <c r="B3" s="292"/>
      <c r="C3" s="355"/>
      <c r="D3" s="292"/>
      <c r="E3" s="292"/>
    </row>
    <row r="4" spans="1:15" ht="123.6" customHeight="1" x14ac:dyDescent="0.4">
      <c r="A4" s="850"/>
      <c r="B4" s="292"/>
      <c r="C4" s="358"/>
      <c r="D4" s="358"/>
      <c r="E4" s="358"/>
      <c r="F4" s="359"/>
      <c r="G4" s="359"/>
      <c r="H4" s="359"/>
      <c r="I4" s="359"/>
      <c r="J4" s="359"/>
      <c r="K4" s="359"/>
      <c r="L4" s="359"/>
      <c r="M4" s="359"/>
      <c r="N4" s="359"/>
      <c r="O4" s="359"/>
    </row>
    <row r="5" spans="1:15" ht="34.950000000000003" customHeight="1" x14ac:dyDescent="0.4">
      <c r="A5" s="850"/>
      <c r="B5" s="292"/>
      <c r="C5" s="358"/>
      <c r="D5" s="358"/>
      <c r="E5" s="358"/>
      <c r="F5" s="359"/>
      <c r="G5" s="359"/>
      <c r="H5" s="359"/>
      <c r="I5" s="359"/>
      <c r="J5" s="359"/>
      <c r="K5" s="359"/>
      <c r="L5" s="359"/>
      <c r="M5" s="359"/>
      <c r="N5" s="359"/>
      <c r="O5" s="359"/>
    </row>
    <row r="6" spans="1:15" ht="32.4" customHeight="1" x14ac:dyDescent="0.4">
      <c r="A6" s="850"/>
      <c r="B6" s="292"/>
      <c r="C6" s="354" t="s">
        <v>397</v>
      </c>
      <c r="D6" s="358"/>
      <c r="E6" s="358"/>
      <c r="F6" s="359"/>
      <c r="G6" s="359"/>
      <c r="H6" s="359"/>
      <c r="I6" s="359"/>
      <c r="J6" s="359"/>
      <c r="K6" s="359"/>
      <c r="L6" s="359"/>
      <c r="M6" s="359"/>
      <c r="N6" s="359"/>
      <c r="O6" s="359"/>
    </row>
    <row r="7" spans="1:15" ht="25.8" customHeight="1" x14ac:dyDescent="0.3">
      <c r="A7" s="850"/>
      <c r="B7" s="292"/>
      <c r="C7" s="292"/>
      <c r="D7" s="292"/>
      <c r="E7" s="292"/>
      <c r="H7" s="360"/>
    </row>
    <row r="8" spans="1:15" ht="213.6" customHeight="1" x14ac:dyDescent="0.3">
      <c r="A8" s="850"/>
      <c r="B8" s="292"/>
      <c r="C8" s="292"/>
      <c r="D8" s="292"/>
      <c r="E8" s="292"/>
    </row>
    <row r="9" spans="1:15" s="8" customFormat="1" ht="18" customHeight="1" x14ac:dyDescent="0.3">
      <c r="A9" s="353"/>
      <c r="B9" s="356"/>
      <c r="C9" s="356"/>
      <c r="D9" s="356"/>
      <c r="E9" s="356"/>
    </row>
    <row r="10" spans="1:15" s="8" customFormat="1" ht="18" customHeight="1" x14ac:dyDescent="0.3">
      <c r="A10" s="353"/>
      <c r="B10" s="356"/>
      <c r="C10" s="356"/>
      <c r="D10" s="356"/>
      <c r="E10" s="356"/>
    </row>
    <row r="11" spans="1:15" s="8" customFormat="1" ht="18" customHeight="1" x14ac:dyDescent="0.3">
      <c r="A11" s="353"/>
      <c r="B11" s="356"/>
      <c r="C11" s="356"/>
      <c r="D11" s="356"/>
      <c r="E11" s="356"/>
    </row>
    <row r="12" spans="1:15" s="8" customFormat="1" ht="18" customHeight="1" x14ac:dyDescent="0.3">
      <c r="A12" s="353"/>
      <c r="B12" s="356"/>
      <c r="C12" s="356"/>
      <c r="D12" s="356"/>
      <c r="E12" s="356"/>
    </row>
    <row r="13" spans="1:15" s="8" customFormat="1" ht="18" customHeight="1" x14ac:dyDescent="0.3">
      <c r="A13" s="353"/>
      <c r="B13" s="356"/>
      <c r="C13" s="356"/>
      <c r="D13" s="356"/>
      <c r="E13" s="356"/>
    </row>
    <row r="14" spans="1:15" s="8" customFormat="1" ht="18" customHeight="1" x14ac:dyDescent="0.3">
      <c r="A14" s="353"/>
      <c r="B14" s="356"/>
      <c r="C14" s="356"/>
      <c r="D14" s="356"/>
      <c r="E14" s="356"/>
    </row>
    <row r="15" spans="1:15" s="8" customFormat="1" ht="18" customHeight="1" x14ac:dyDescent="0.3">
      <c r="A15" s="353"/>
      <c r="B15" s="356"/>
      <c r="C15" s="356"/>
      <c r="D15" s="356"/>
      <c r="E15" s="356"/>
    </row>
    <row r="16" spans="1:15" s="8" customFormat="1" ht="18" customHeight="1" x14ac:dyDescent="0.3">
      <c r="A16" s="353"/>
      <c r="B16" s="356"/>
      <c r="C16" s="356"/>
      <c r="D16" s="356"/>
      <c r="E16" s="356"/>
    </row>
    <row r="17" spans="1:5" s="8" customFormat="1" ht="18" customHeight="1" x14ac:dyDescent="0.3">
      <c r="A17" s="353"/>
      <c r="B17" s="356"/>
      <c r="C17" s="356"/>
      <c r="D17" s="356"/>
      <c r="E17" s="356"/>
    </row>
    <row r="18" spans="1:5" s="8" customFormat="1" ht="18" customHeight="1" x14ac:dyDescent="0.3">
      <c r="A18" s="353"/>
      <c r="B18" s="356"/>
      <c r="C18" s="356"/>
      <c r="D18" s="356"/>
      <c r="E18" s="356"/>
    </row>
    <row r="19" spans="1:5" s="8" customFormat="1" ht="18" customHeight="1" x14ac:dyDescent="0.3">
      <c r="A19" s="849" t="s">
        <v>0</v>
      </c>
      <c r="B19" s="356"/>
      <c r="C19" s="356"/>
      <c r="D19" s="356"/>
      <c r="E19" s="356"/>
    </row>
    <row r="20" spans="1:5" s="8" customFormat="1" ht="18" customHeight="1" x14ac:dyDescent="0.3">
      <c r="A20" s="849"/>
      <c r="B20" s="356"/>
      <c r="C20" s="356"/>
      <c r="D20" s="356"/>
      <c r="E20" s="356"/>
    </row>
    <row r="21" spans="1:5" s="8" customFormat="1" ht="18" customHeight="1" x14ac:dyDescent="0.3">
      <c r="A21" s="849"/>
      <c r="B21" s="356"/>
      <c r="C21" s="356"/>
      <c r="D21" s="356"/>
      <c r="E21" s="356"/>
    </row>
    <row r="22" spans="1:5" s="8" customFormat="1" ht="18" customHeight="1" x14ac:dyDescent="0.3">
      <c r="A22" s="849"/>
      <c r="B22" s="356"/>
      <c r="C22" s="356"/>
      <c r="D22" s="356"/>
      <c r="E22" s="356"/>
    </row>
  </sheetData>
  <sheetProtection sheet="1" objects="1" scenarios="1" selectLockedCells="1"/>
  <mergeCells count="2">
    <mergeCell ref="A19:A22"/>
    <mergeCell ref="A2:A8"/>
  </mergeCells>
  <hyperlinks>
    <hyperlink ref="O2" location="ToC!A1" display="Return to Table of Contents"/>
  </hyperlinks>
  <printOptions verticalCentered="1"/>
  <pageMargins left="0.5" right="0.5" top="0" bottom="0" header="0.3" footer="0.3"/>
  <pageSetup paperSize="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26"/>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 min="16" max="16" width="3.21875" customWidth="1"/>
  </cols>
  <sheetData>
    <row r="1" spans="1:16" ht="35.25" customHeight="1" x14ac:dyDescent="0.3">
      <c r="A1" s="345"/>
      <c r="B1" s="1"/>
      <c r="C1" s="1"/>
      <c r="D1" s="1"/>
      <c r="E1" s="1"/>
    </row>
    <row r="2" spans="1:16" ht="32.4" customHeight="1" x14ac:dyDescent="0.3">
      <c r="A2" s="891" t="s">
        <v>84</v>
      </c>
      <c r="B2" s="1"/>
      <c r="C2" s="143" t="s">
        <v>240</v>
      </c>
      <c r="D2" s="1"/>
      <c r="E2" s="1"/>
      <c r="O2" s="328" t="s">
        <v>34</v>
      </c>
    </row>
    <row r="3" spans="1:16" ht="25.8" customHeight="1" x14ac:dyDescent="0.5">
      <c r="A3" s="891"/>
      <c r="B3" s="1"/>
      <c r="C3" s="230" t="s">
        <v>368</v>
      </c>
      <c r="D3" s="1"/>
      <c r="E3" s="1"/>
    </row>
    <row r="4" spans="1:16" ht="25.8" customHeight="1" x14ac:dyDescent="0.5">
      <c r="A4" s="891"/>
      <c r="B4" s="1"/>
      <c r="C4" s="290" t="str">
        <f>"COST (EST.): "&amp;TEXT(SUM(N10:N13),"$0,000.00")</f>
        <v>COST (EST.): $9,950.00</v>
      </c>
      <c r="D4" s="1"/>
      <c r="E4" s="1"/>
    </row>
    <row r="5" spans="1:16" ht="72" customHeight="1" x14ac:dyDescent="0.3">
      <c r="A5" s="891"/>
      <c r="B5" s="1"/>
      <c r="C5" s="1"/>
      <c r="D5" s="1"/>
      <c r="E5" s="1"/>
    </row>
    <row r="6" spans="1:16" ht="72" customHeight="1" x14ac:dyDescent="0.3">
      <c r="A6" s="891"/>
      <c r="B6" s="1"/>
      <c r="C6" s="1"/>
      <c r="D6" s="1"/>
      <c r="E6" s="1"/>
    </row>
    <row r="7" spans="1:16" ht="72" customHeight="1" x14ac:dyDescent="0.3">
      <c r="A7" s="891"/>
      <c r="B7" s="1"/>
      <c r="C7" s="1"/>
      <c r="D7" s="1"/>
      <c r="E7" s="1"/>
    </row>
    <row r="8" spans="1:16" ht="72" customHeight="1" x14ac:dyDescent="0.3">
      <c r="A8" s="891"/>
      <c r="B8" s="1"/>
      <c r="C8" s="1"/>
      <c r="D8" s="1"/>
      <c r="E8" s="1"/>
    </row>
    <row r="9" spans="1:16" s="4" customFormat="1" ht="18" customHeight="1" thickBot="1" x14ac:dyDescent="0.35">
      <c r="A9" s="2"/>
      <c r="B9" s="3"/>
      <c r="C9" s="198" t="s">
        <v>1</v>
      </c>
      <c r="D9" s="199"/>
      <c r="E9" s="224" t="s">
        <v>2</v>
      </c>
      <c r="F9" s="224" t="s">
        <v>3</v>
      </c>
      <c r="G9" s="198" t="s">
        <v>4</v>
      </c>
      <c r="H9" s="198" t="s">
        <v>5</v>
      </c>
      <c r="I9" s="198" t="s">
        <v>6</v>
      </c>
      <c r="J9" s="225" t="s">
        <v>7</v>
      </c>
      <c r="K9" s="198" t="s">
        <v>8</v>
      </c>
      <c r="L9" s="199"/>
      <c r="M9" s="225" t="s">
        <v>283</v>
      </c>
      <c r="N9" s="225" t="s">
        <v>9</v>
      </c>
      <c r="O9" s="198" t="s">
        <v>10</v>
      </c>
    </row>
    <row r="10" spans="1:16" s="8" customFormat="1" ht="34.5" customHeight="1" x14ac:dyDescent="0.3">
      <c r="A10" s="6"/>
      <c r="B10" s="7"/>
      <c r="C10" s="19" t="s">
        <v>13</v>
      </c>
      <c r="D10" s="48" t="s">
        <v>241</v>
      </c>
      <c r="E10" s="144">
        <v>3</v>
      </c>
      <c r="F10" s="145">
        <v>48</v>
      </c>
      <c r="G10" s="37" t="s">
        <v>145</v>
      </c>
      <c r="H10" s="23" t="s">
        <v>145</v>
      </c>
      <c r="I10" s="689" t="s">
        <v>130</v>
      </c>
      <c r="J10" s="148" t="s">
        <v>312</v>
      </c>
      <c r="K10" s="23" t="s">
        <v>242</v>
      </c>
      <c r="L10" s="23"/>
      <c r="M10" s="226">
        <v>7401</v>
      </c>
      <c r="N10" s="226">
        <f>ROUNDUP(M10*0.6, 0)</f>
        <v>4441</v>
      </c>
      <c r="O10" s="793" t="s">
        <v>494</v>
      </c>
      <c r="P10" s="429"/>
    </row>
    <row r="11" spans="1:16" s="8" customFormat="1" ht="34.5" customHeight="1" x14ac:dyDescent="0.3">
      <c r="A11" s="6"/>
      <c r="B11" s="7"/>
      <c r="C11" s="19" t="s">
        <v>14</v>
      </c>
      <c r="D11" s="48" t="s">
        <v>241</v>
      </c>
      <c r="E11" s="144">
        <v>3</v>
      </c>
      <c r="F11" s="145">
        <v>48</v>
      </c>
      <c r="G11" s="37" t="s">
        <v>145</v>
      </c>
      <c r="H11" s="23" t="s">
        <v>145</v>
      </c>
      <c r="I11" s="689" t="s">
        <v>130</v>
      </c>
      <c r="J11" s="223" t="s">
        <v>313</v>
      </c>
      <c r="K11" s="23" t="s">
        <v>242</v>
      </c>
      <c r="L11" s="23"/>
      <c r="M11" s="226">
        <v>6102</v>
      </c>
      <c r="N11" s="226">
        <f>ROUNDUP(M11*0.6, 0)</f>
        <v>3662</v>
      </c>
      <c r="O11" s="794" t="s">
        <v>494</v>
      </c>
      <c r="P11" s="429"/>
    </row>
    <row r="12" spans="1:16" s="8" customFormat="1" ht="34.5" customHeight="1" x14ac:dyDescent="0.3">
      <c r="A12" s="6"/>
      <c r="B12" s="7"/>
      <c r="C12" s="19" t="s">
        <v>15</v>
      </c>
      <c r="D12" s="48" t="s">
        <v>241</v>
      </c>
      <c r="E12" s="144">
        <v>3</v>
      </c>
      <c r="F12" s="145">
        <v>48</v>
      </c>
      <c r="G12" s="37" t="s">
        <v>145</v>
      </c>
      <c r="H12" s="23" t="s">
        <v>145</v>
      </c>
      <c r="I12" s="689" t="s">
        <v>130</v>
      </c>
      <c r="J12" s="148" t="s">
        <v>311</v>
      </c>
      <c r="K12" s="23" t="s">
        <v>242</v>
      </c>
      <c r="L12" s="23"/>
      <c r="M12" s="226">
        <v>2239</v>
      </c>
      <c r="N12" s="226">
        <f>ROUNDUP(M12*0.6, 0)</f>
        <v>1344</v>
      </c>
      <c r="O12" s="794" t="s">
        <v>494</v>
      </c>
      <c r="P12" s="429"/>
    </row>
    <row r="13" spans="1:16" s="8" customFormat="1" ht="34.5" customHeight="1" thickBot="1" x14ac:dyDescent="0.35">
      <c r="A13" s="6"/>
      <c r="B13" s="7"/>
      <c r="C13" s="21" t="s">
        <v>16</v>
      </c>
      <c r="D13" s="50" t="s">
        <v>23</v>
      </c>
      <c r="E13" s="146">
        <v>6</v>
      </c>
      <c r="F13" s="147">
        <v>1</v>
      </c>
      <c r="G13" s="100" t="s">
        <v>120</v>
      </c>
      <c r="H13" s="27" t="s">
        <v>37</v>
      </c>
      <c r="I13" s="100" t="s">
        <v>121</v>
      </c>
      <c r="J13" s="149" t="s">
        <v>185</v>
      </c>
      <c r="K13" s="27" t="s">
        <v>29</v>
      </c>
      <c r="L13" s="27"/>
      <c r="M13" s="227">
        <v>837.9</v>
      </c>
      <c r="N13" s="229">
        <f>ROUNDUP(M13*0.6, 0)</f>
        <v>503</v>
      </c>
      <c r="O13" s="795" t="s">
        <v>314</v>
      </c>
    </row>
    <row r="14" spans="1:16" s="8" customFormat="1" ht="18" customHeight="1" x14ac:dyDescent="0.3">
      <c r="A14" s="6"/>
      <c r="B14" s="7"/>
      <c r="C14" s="7"/>
      <c r="D14" s="7"/>
      <c r="E14" s="7"/>
      <c r="O14" s="318" t="s">
        <v>385</v>
      </c>
    </row>
    <row r="15" spans="1:16" s="8" customFormat="1" ht="18" customHeight="1" x14ac:dyDescent="0.3">
      <c r="A15" s="6"/>
      <c r="B15" s="7"/>
      <c r="C15" s="7"/>
      <c r="D15" s="7"/>
      <c r="E15" s="7"/>
    </row>
    <row r="16" spans="1:16" s="8" customFormat="1" ht="18" customHeight="1" x14ac:dyDescent="0.3">
      <c r="A16" s="6"/>
      <c r="B16" s="7"/>
      <c r="C16" s="7"/>
      <c r="D16" s="7"/>
      <c r="E16" s="7"/>
      <c r="I16" s="429"/>
    </row>
    <row r="17" spans="1:15" s="8" customFormat="1" ht="18" customHeight="1" x14ac:dyDescent="0.3">
      <c r="A17" s="6"/>
      <c r="B17" s="7"/>
      <c r="C17" s="7"/>
      <c r="D17" s="7"/>
      <c r="E17" s="7"/>
      <c r="I17" s="429"/>
    </row>
    <row r="18" spans="1:15" s="8" customFormat="1" ht="18" customHeight="1" x14ac:dyDescent="0.3">
      <c r="A18" s="6"/>
      <c r="B18" s="7"/>
      <c r="C18" s="7"/>
      <c r="D18" s="7"/>
      <c r="E18" s="7"/>
      <c r="H18" s="428"/>
      <c r="I18" s="430"/>
      <c r="J18" s="91"/>
      <c r="K18" s="91"/>
      <c r="L18" s="91"/>
      <c r="M18" s="373"/>
      <c r="N18" s="373"/>
      <c r="O18" s="91"/>
    </row>
    <row r="19" spans="1:15" s="8" customFormat="1" ht="18" customHeight="1" x14ac:dyDescent="0.3">
      <c r="A19" s="6"/>
      <c r="B19" s="7"/>
      <c r="C19" s="7"/>
      <c r="D19" s="7"/>
      <c r="E19" s="7"/>
      <c r="H19" s="428"/>
      <c r="I19" s="430"/>
      <c r="J19" s="396"/>
      <c r="K19" s="91"/>
      <c r="L19" s="91"/>
      <c r="M19" s="373"/>
      <c r="N19" s="373"/>
      <c r="O19" s="91"/>
    </row>
    <row r="20" spans="1:15" s="8" customFormat="1" ht="18" customHeight="1" x14ac:dyDescent="0.3">
      <c r="A20" s="6"/>
      <c r="B20" s="7"/>
      <c r="C20" s="7"/>
      <c r="D20" s="7"/>
      <c r="E20" s="7"/>
      <c r="H20" s="428"/>
      <c r="I20" s="430"/>
      <c r="J20" s="91"/>
      <c r="K20" s="91"/>
      <c r="L20" s="91"/>
      <c r="M20" s="373"/>
      <c r="N20" s="373"/>
      <c r="O20" s="91"/>
    </row>
    <row r="21" spans="1:15" s="8" customFormat="1" ht="18" customHeight="1" x14ac:dyDescent="0.3">
      <c r="A21" s="6"/>
      <c r="B21" s="7"/>
      <c r="C21" s="7"/>
      <c r="D21" s="7"/>
      <c r="E21" s="7"/>
      <c r="I21" s="429"/>
    </row>
    <row r="22" spans="1:15" s="8" customFormat="1" ht="18" customHeight="1" x14ac:dyDescent="0.3">
      <c r="A22" s="892" t="s">
        <v>0</v>
      </c>
      <c r="B22" s="7"/>
      <c r="C22" s="7"/>
      <c r="D22" s="7"/>
      <c r="E22" s="7"/>
    </row>
    <row r="23" spans="1:15" s="8" customFormat="1" ht="18" customHeight="1" x14ac:dyDescent="0.3">
      <c r="A23" s="892"/>
      <c r="B23" s="7"/>
      <c r="C23" s="7"/>
      <c r="D23" s="7"/>
      <c r="E23" s="7"/>
    </row>
    <row r="24" spans="1:15" s="8" customFormat="1" ht="18" customHeight="1" x14ac:dyDescent="0.3">
      <c r="A24" s="892"/>
      <c r="B24" s="7"/>
      <c r="C24" s="7"/>
      <c r="D24" s="7"/>
      <c r="E24" s="7"/>
    </row>
    <row r="25" spans="1:15" s="8" customFormat="1" ht="18" customHeight="1" thickBot="1" x14ac:dyDescent="0.35">
      <c r="A25" s="892"/>
      <c r="B25" s="7"/>
      <c r="C25" s="7"/>
      <c r="D25" s="7"/>
      <c r="E25" s="7"/>
    </row>
    <row r="26" spans="1:15" ht="18" customHeight="1" x14ac:dyDescent="0.3">
      <c r="A26" s="677"/>
      <c r="B26" s="677"/>
      <c r="C26" s="677"/>
      <c r="D26" s="677"/>
      <c r="E26" s="677"/>
      <c r="F26" s="677"/>
      <c r="G26" s="677"/>
      <c r="H26" s="677"/>
      <c r="I26" s="677"/>
      <c r="J26" s="677"/>
      <c r="K26" s="677"/>
      <c r="L26" s="677"/>
      <c r="M26" s="677"/>
      <c r="N26" s="677"/>
      <c r="O26" s="677"/>
    </row>
  </sheetData>
  <sheetProtection sheet="1" objects="1" scenarios="1" selectLockedCells="1"/>
  <mergeCells count="2">
    <mergeCell ref="A2:A8"/>
    <mergeCell ref="A22:A25"/>
  </mergeCells>
  <conditionalFormatting sqref="A1:XFD9 A13:XFD1048576 A10:N12 P10:XFD12">
    <cfRule type="cellIs" dxfId="3" priority="4" operator="equal">
      <formula>"N/A"</formula>
    </cfRule>
  </conditionalFormatting>
  <conditionalFormatting sqref="O12">
    <cfRule type="cellIs" dxfId="2" priority="3" operator="equal">
      <formula>"N/A"</formula>
    </cfRule>
  </conditionalFormatting>
  <conditionalFormatting sqref="O11">
    <cfRule type="cellIs" dxfId="1" priority="2" operator="equal">
      <formula>"N/A"</formula>
    </cfRule>
  </conditionalFormatting>
  <conditionalFormatting sqref="O10">
    <cfRule type="cellIs" dxfId="0" priority="1" operator="equal">
      <formula>"N/A"</formula>
    </cfRule>
  </conditionalFormatting>
  <hyperlinks>
    <hyperlink ref="O2" location="ToC!A1" display="Return to Table of Contents"/>
  </hyperlinks>
  <printOptions verticalCentered="1"/>
  <pageMargins left="0.5" right="0.5" top="0" bottom="0" header="0.3" footer="0.3"/>
  <pageSetup paperSize="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63"/>
  <sheetViews>
    <sheetView showGridLines="0" zoomScaleNormal="100" workbookViewId="0"/>
  </sheetViews>
  <sheetFormatPr defaultRowHeight="14.4" x14ac:dyDescent="0.3"/>
  <cols>
    <col min="1" max="1" width="5.77734375" style="280" customWidth="1"/>
    <col min="2" max="3" width="2.77734375" style="280" customWidth="1"/>
    <col min="4" max="4" width="36.77734375" style="280" customWidth="1"/>
    <col min="5" max="5" width="14.77734375" style="280" customWidth="1"/>
    <col min="6" max="6" width="14.77734375" style="810" customWidth="1"/>
    <col min="7" max="7" width="5.77734375" style="280" customWidth="1"/>
    <col min="8" max="9" width="2.77734375" style="280" customWidth="1"/>
    <col min="10" max="10" width="50.77734375" style="280" customWidth="1"/>
    <col min="11" max="11" width="5.77734375" style="280" customWidth="1"/>
    <col min="12" max="13" width="2.77734375" style="280" customWidth="1"/>
    <col min="14" max="14" width="50.77734375" style="280" customWidth="1"/>
    <col min="15" max="15" width="5.77734375" style="280" customWidth="1"/>
  </cols>
  <sheetData>
    <row r="1" spans="1:16" ht="35.25" customHeight="1" x14ac:dyDescent="0.3">
      <c r="A1" s="357"/>
      <c r="B1" s="292"/>
      <c r="C1" s="292"/>
      <c r="D1" s="292"/>
    </row>
    <row r="2" spans="1:16" ht="32.4" customHeight="1" x14ac:dyDescent="0.3">
      <c r="A2" s="848" t="s">
        <v>496</v>
      </c>
      <c r="B2" s="313"/>
      <c r="C2" s="354" t="s">
        <v>495</v>
      </c>
      <c r="D2" s="292"/>
      <c r="G2" s="298"/>
      <c r="H2" s="298"/>
      <c r="I2" s="298"/>
    </row>
    <row r="3" spans="1:16" ht="25.8" customHeight="1" x14ac:dyDescent="0.3">
      <c r="A3" s="848"/>
      <c r="B3" s="313"/>
      <c r="C3" s="293"/>
      <c r="D3" s="292"/>
    </row>
    <row r="4" spans="1:16" s="280" customFormat="1" ht="15" customHeight="1" thickBot="1" x14ac:dyDescent="0.35">
      <c r="A4" s="848"/>
      <c r="B4" s="313"/>
      <c r="C4" s="301"/>
      <c r="D4" s="315" t="s">
        <v>332</v>
      </c>
      <c r="E4" s="347"/>
      <c r="F4" s="814"/>
      <c r="G4" s="311"/>
      <c r="H4" s="311"/>
      <c r="I4" s="311"/>
      <c r="J4" s="797"/>
      <c r="K4" s="283"/>
      <c r="P4"/>
    </row>
    <row r="5" spans="1:16" s="280" customFormat="1" ht="15" customHeight="1" x14ac:dyDescent="0.3">
      <c r="A5" s="848"/>
      <c r="B5" s="313"/>
      <c r="C5" s="292"/>
      <c r="D5" s="824" t="s">
        <v>381</v>
      </c>
      <c r="E5" s="825"/>
      <c r="F5" s="826">
        <f>SUM('PIO | Workstation'!M11:M26)</f>
        <v>5918</v>
      </c>
      <c r="I5" s="796"/>
      <c r="J5" s="797"/>
      <c r="P5"/>
    </row>
    <row r="6" spans="1:16" s="280" customFormat="1" ht="15" customHeight="1" x14ac:dyDescent="0.3">
      <c r="A6" s="848"/>
      <c r="B6" s="313"/>
      <c r="C6" s="296"/>
      <c r="D6" s="827" t="s">
        <v>382</v>
      </c>
      <c r="E6" s="796"/>
      <c r="F6" s="828">
        <f>SUM('PIO | Workstation'!M67:M74)</f>
        <v>1756</v>
      </c>
      <c r="I6" s="796"/>
      <c r="J6" s="797"/>
      <c r="K6" s="283"/>
      <c r="P6"/>
    </row>
    <row r="7" spans="1:16" s="280" customFormat="1" ht="15" customHeight="1" x14ac:dyDescent="0.3">
      <c r="A7" s="848"/>
      <c r="B7" s="313"/>
      <c r="C7" s="292"/>
      <c r="D7" s="827" t="s">
        <v>471</v>
      </c>
      <c r="E7" s="796"/>
      <c r="F7" s="828">
        <f>SUM('PIO | Workstation'!M89:M99)</f>
        <v>5676</v>
      </c>
      <c r="I7" s="796"/>
      <c r="J7" s="797"/>
      <c r="K7" s="283"/>
      <c r="P7"/>
    </row>
    <row r="8" spans="1:16" s="280" customFormat="1" ht="15" customHeight="1" x14ac:dyDescent="0.3">
      <c r="A8" s="848"/>
      <c r="B8" s="313"/>
      <c r="C8" s="292"/>
      <c r="D8" s="829" t="s">
        <v>474</v>
      </c>
      <c r="E8" s="796"/>
      <c r="F8" s="828">
        <f>SUM('PIO | Workstation'!M136:M149)</f>
        <v>7175</v>
      </c>
      <c r="I8" s="796"/>
      <c r="J8" s="797"/>
      <c r="K8" s="283"/>
      <c r="P8"/>
    </row>
    <row r="9" spans="1:16" s="280" customFormat="1" ht="15" customHeight="1" x14ac:dyDescent="0.3">
      <c r="A9" s="848"/>
      <c r="B9" s="313"/>
      <c r="C9" s="292"/>
      <c r="D9" s="827" t="s">
        <v>354</v>
      </c>
      <c r="E9" s="797"/>
      <c r="F9" s="830">
        <f>SUM('PIO | Touchdown'!N10:N11)</f>
        <v>5698</v>
      </c>
      <c r="I9" s="796"/>
      <c r="J9" s="798"/>
      <c r="K9" s="284"/>
      <c r="P9"/>
    </row>
    <row r="10" spans="1:16" s="280" customFormat="1" ht="15" customHeight="1" x14ac:dyDescent="0.3">
      <c r="A10" s="848"/>
      <c r="B10" s="313"/>
      <c r="C10" s="292"/>
      <c r="D10" s="827" t="s">
        <v>390</v>
      </c>
      <c r="E10" s="797"/>
      <c r="F10" s="830">
        <f>SUM('PIO | Touchdown'!N37:N39)</f>
        <v>6578</v>
      </c>
      <c r="G10" s="283"/>
      <c r="H10" s="283"/>
      <c r="I10" s="797"/>
      <c r="J10" s="798"/>
      <c r="K10" s="284"/>
      <c r="P10"/>
    </row>
    <row r="11" spans="1:16" s="280" customFormat="1" ht="15" customHeight="1" x14ac:dyDescent="0.3">
      <c r="A11" s="848"/>
      <c r="B11" s="313"/>
      <c r="C11" s="294"/>
      <c r="D11" s="827" t="s">
        <v>355</v>
      </c>
      <c r="E11" s="797"/>
      <c r="F11" s="830">
        <f>SUM('PIO | Focus'!N10:N11)</f>
        <v>2418</v>
      </c>
      <c r="G11" s="283"/>
      <c r="H11" s="283"/>
      <c r="I11" s="797"/>
      <c r="J11" s="798"/>
      <c r="K11" s="284"/>
      <c r="P11"/>
    </row>
    <row r="12" spans="1:16" s="280" customFormat="1" ht="15" customHeight="1" x14ac:dyDescent="0.3">
      <c r="A12" s="848"/>
      <c r="B12" s="292"/>
      <c r="C12" s="292"/>
      <c r="D12" s="827" t="s">
        <v>356</v>
      </c>
      <c r="E12" s="797"/>
      <c r="F12" s="830">
        <f>SUM('PIO | Focus'!N37:N39)</f>
        <v>4947</v>
      </c>
      <c r="G12" s="283"/>
      <c r="H12" s="283"/>
      <c r="I12" s="797"/>
      <c r="J12" s="798"/>
      <c r="K12" s="284"/>
      <c r="P12"/>
    </row>
    <row r="13" spans="1:16" s="280" customFormat="1" ht="15" customHeight="1" x14ac:dyDescent="0.3">
      <c r="A13" s="848"/>
      <c r="B13" s="292"/>
      <c r="C13" s="292"/>
      <c r="D13" s="292"/>
      <c r="F13" s="810"/>
      <c r="G13" s="283"/>
      <c r="H13" s="283"/>
      <c r="I13" s="797"/>
      <c r="J13" s="798"/>
      <c r="K13" s="284"/>
      <c r="P13"/>
    </row>
    <row r="14" spans="1:16" s="280" customFormat="1" ht="15" customHeight="1" thickBot="1" x14ac:dyDescent="0.35">
      <c r="A14" s="848"/>
      <c r="B14" s="292"/>
      <c r="C14" s="302"/>
      <c r="D14" s="316" t="s">
        <v>74</v>
      </c>
      <c r="E14" s="348"/>
      <c r="F14" s="815"/>
      <c r="I14" s="796"/>
      <c r="J14" s="798"/>
      <c r="K14" s="284"/>
      <c r="P14"/>
    </row>
    <row r="15" spans="1:16" s="280" customFormat="1" ht="15" customHeight="1" x14ac:dyDescent="0.3">
      <c r="A15" s="848"/>
      <c r="B15" s="292"/>
      <c r="C15" s="292"/>
      <c r="D15" s="831" t="s">
        <v>75</v>
      </c>
      <c r="E15" s="832"/>
      <c r="F15" s="833">
        <f>SUM('PIE | Focus'!N10:N14)</f>
        <v>2008</v>
      </c>
      <c r="G15" s="312"/>
      <c r="H15" s="312"/>
      <c r="I15" s="312"/>
      <c r="J15" s="797"/>
      <c r="K15" s="283"/>
      <c r="P15"/>
    </row>
    <row r="16" spans="1:16" s="280" customFormat="1" ht="15" customHeight="1" x14ac:dyDescent="0.3">
      <c r="A16" s="848"/>
      <c r="B16" s="292"/>
      <c r="C16" s="292"/>
      <c r="D16" s="827" t="s">
        <v>76</v>
      </c>
      <c r="E16" s="797"/>
      <c r="F16" s="830">
        <f>SUM('PIE | Focus'!N34:N35)</f>
        <v>1519</v>
      </c>
      <c r="G16" s="283"/>
      <c r="H16" s="283"/>
      <c r="I16" s="797"/>
      <c r="J16" s="797"/>
      <c r="K16" s="283"/>
      <c r="P16"/>
    </row>
    <row r="17" spans="1:16" s="280" customFormat="1" ht="15" customHeight="1" x14ac:dyDescent="0.3">
      <c r="A17" s="848"/>
      <c r="B17" s="292"/>
      <c r="C17" s="294"/>
      <c r="D17" s="827" t="s">
        <v>77</v>
      </c>
      <c r="E17" s="797"/>
      <c r="F17" s="830">
        <f>SUM('PIE | Study'!N10:N18)</f>
        <v>13114</v>
      </c>
      <c r="G17" s="283"/>
      <c r="H17" s="283"/>
      <c r="I17" s="797"/>
      <c r="J17" s="797"/>
      <c r="K17" s="283"/>
      <c r="P17"/>
    </row>
    <row r="18" spans="1:16" s="280" customFormat="1" ht="15" customHeight="1" x14ac:dyDescent="0.3">
      <c r="A18" s="848"/>
      <c r="B18" s="292"/>
      <c r="C18" s="292"/>
      <c r="D18" s="827" t="s">
        <v>78</v>
      </c>
      <c r="E18" s="797"/>
      <c r="F18" s="830">
        <f>SUM('PIE | Study'!N32:N39)</f>
        <v>28269</v>
      </c>
      <c r="G18" s="283"/>
      <c r="H18" s="283"/>
      <c r="I18" s="797"/>
      <c r="J18" s="796"/>
      <c r="P18"/>
    </row>
    <row r="19" spans="1:16" s="280" customFormat="1" ht="15" customHeight="1" x14ac:dyDescent="0.3">
      <c r="A19" s="848"/>
      <c r="B19" s="292"/>
      <c r="C19" s="292"/>
      <c r="D19" s="292"/>
      <c r="F19" s="810"/>
      <c r="G19" s="283"/>
      <c r="H19" s="283"/>
      <c r="I19" s="797"/>
      <c r="J19" s="311"/>
      <c r="K19" s="311"/>
      <c r="P19"/>
    </row>
    <row r="20" spans="1:16" s="280" customFormat="1" ht="15" customHeight="1" thickBot="1" x14ac:dyDescent="0.35">
      <c r="A20" s="848"/>
      <c r="B20" s="292"/>
      <c r="C20" s="303"/>
      <c r="D20" s="317" t="s">
        <v>383</v>
      </c>
      <c r="E20" s="349"/>
      <c r="F20" s="816"/>
      <c r="I20" s="796"/>
      <c r="J20" s="797"/>
      <c r="K20" s="283"/>
      <c r="P20"/>
    </row>
    <row r="21" spans="1:16" s="280" customFormat="1" ht="15" customHeight="1" x14ac:dyDescent="0.3">
      <c r="A21" s="848"/>
      <c r="B21" s="292"/>
      <c r="C21" s="292"/>
      <c r="D21" s="834" t="s">
        <v>80</v>
      </c>
      <c r="E21" s="835"/>
      <c r="F21" s="836">
        <f>SUM('SI | Phone'!N10:N11)</f>
        <v>1994</v>
      </c>
      <c r="G21" s="311"/>
      <c r="H21" s="311"/>
      <c r="I21" s="311"/>
      <c r="J21" s="798"/>
      <c r="K21" s="284"/>
      <c r="P21"/>
    </row>
    <row r="22" spans="1:16" s="280" customFormat="1" ht="15" customHeight="1" x14ac:dyDescent="0.3">
      <c r="A22" s="848"/>
      <c r="B22" s="292"/>
      <c r="C22" s="292"/>
      <c r="D22" s="827" t="s">
        <v>81</v>
      </c>
      <c r="E22" s="797"/>
      <c r="F22" s="830">
        <f>SUM('SI | Phone'!N37:N38)</f>
        <v>2492</v>
      </c>
      <c r="G22" s="283"/>
      <c r="H22" s="283"/>
      <c r="I22" s="797"/>
      <c r="J22" s="798"/>
      <c r="K22" s="284"/>
      <c r="P22"/>
    </row>
    <row r="23" spans="1:16" s="280" customFormat="1" ht="15" customHeight="1" x14ac:dyDescent="0.3">
      <c r="A23" s="848"/>
      <c r="B23" s="292"/>
      <c r="C23" s="292"/>
      <c r="D23" s="827" t="s">
        <v>82</v>
      </c>
      <c r="E23" s="797"/>
      <c r="F23" s="830">
        <f>SUM('SI | Phone'!N64)</f>
        <v>10000</v>
      </c>
      <c r="G23" s="283"/>
      <c r="H23" s="283"/>
      <c r="I23" s="797"/>
      <c r="J23" s="798"/>
      <c r="K23" s="284"/>
      <c r="P23"/>
    </row>
    <row r="24" spans="1:16" s="280" customFormat="1" ht="15" customHeight="1" x14ac:dyDescent="0.3">
      <c r="A24" s="848"/>
      <c r="B24" s="292"/>
      <c r="C24" s="292"/>
      <c r="D24" s="827" t="s">
        <v>79</v>
      </c>
      <c r="E24" s="797"/>
      <c r="F24" s="830">
        <f>SUM('SI | Reflection'!N10:N13)</f>
        <v>2879</v>
      </c>
      <c r="G24" s="283"/>
      <c r="H24" s="283"/>
      <c r="I24" s="797"/>
      <c r="J24" s="797"/>
      <c r="K24" s="283"/>
      <c r="P24"/>
    </row>
    <row r="25" spans="1:16" s="280" customFormat="1" ht="15" customHeight="1" x14ac:dyDescent="0.3">
      <c r="A25" s="848"/>
      <c r="B25" s="292"/>
      <c r="C25" s="292"/>
      <c r="D25" s="292"/>
      <c r="F25" s="810"/>
      <c r="G25" s="283"/>
      <c r="H25" s="283"/>
      <c r="I25" s="797"/>
      <c r="J25" s="797"/>
      <c r="K25" s="283"/>
      <c r="P25"/>
    </row>
    <row r="26" spans="1:16" s="280" customFormat="1" ht="15" customHeight="1" thickBot="1" x14ac:dyDescent="0.35">
      <c r="A26" s="848"/>
      <c r="B26" s="292"/>
      <c r="C26" s="304"/>
      <c r="D26" s="799" t="s">
        <v>83</v>
      </c>
      <c r="E26" s="803"/>
      <c r="F26" s="811"/>
      <c r="I26" s="796"/>
      <c r="J26" s="797"/>
      <c r="K26" s="283"/>
      <c r="P26"/>
    </row>
    <row r="27" spans="1:16" s="280" customFormat="1" ht="15" customHeight="1" x14ac:dyDescent="0.3">
      <c r="A27" s="848"/>
      <c r="B27" s="292"/>
      <c r="C27" s="292"/>
      <c r="D27" s="827" t="s">
        <v>85</v>
      </c>
      <c r="E27" s="796"/>
      <c r="F27" s="828">
        <f>SUM('CO | Chat'!N10:N11)</f>
        <v>2035</v>
      </c>
      <c r="I27" s="796"/>
      <c r="J27" s="797"/>
      <c r="K27" s="283"/>
      <c r="P27"/>
    </row>
    <row r="28" spans="1:16" s="280" customFormat="1" ht="15" customHeight="1" x14ac:dyDescent="0.3">
      <c r="A28" s="848"/>
      <c r="B28" s="292"/>
      <c r="C28" s="292"/>
      <c r="D28" s="827" t="s">
        <v>86</v>
      </c>
      <c r="E28" s="796"/>
      <c r="F28" s="828">
        <f>SUM('CO | Chat'!N37:N38)</f>
        <v>3219</v>
      </c>
      <c r="I28" s="796"/>
      <c r="J28" s="797"/>
      <c r="K28" s="283"/>
      <c r="P28"/>
    </row>
    <row r="29" spans="1:16" ht="15" customHeight="1" x14ac:dyDescent="0.3">
      <c r="A29" s="848"/>
      <c r="B29" s="292"/>
      <c r="C29" s="292"/>
      <c r="D29" s="827" t="s">
        <v>87</v>
      </c>
      <c r="E29" s="796"/>
      <c r="F29" s="828">
        <f>SUM('CO | Huddle'!N10:N11)</f>
        <v>3801</v>
      </c>
      <c r="I29" s="796"/>
      <c r="J29" s="796"/>
    </row>
    <row r="30" spans="1:16" ht="15" customHeight="1" x14ac:dyDescent="0.3">
      <c r="A30" s="848"/>
      <c r="B30" s="292"/>
      <c r="C30" s="294"/>
      <c r="D30" s="827" t="s">
        <v>88</v>
      </c>
      <c r="E30" s="796"/>
      <c r="F30" s="828">
        <f>SUM('CO | Huddle'!N37:N38)</f>
        <v>5426</v>
      </c>
      <c r="I30" s="796"/>
      <c r="J30" s="311"/>
      <c r="K30" s="311"/>
    </row>
    <row r="31" spans="1:16" ht="15" customHeight="1" x14ac:dyDescent="0.3">
      <c r="A31" s="848"/>
      <c r="B31" s="292"/>
      <c r="C31" s="292"/>
      <c r="D31" s="827" t="s">
        <v>378</v>
      </c>
      <c r="E31" s="796"/>
      <c r="F31" s="828">
        <f>SUM('CO | Huddle'!N64)</f>
        <v>7847</v>
      </c>
      <c r="I31" s="796"/>
      <c r="J31" s="797"/>
      <c r="K31" s="283"/>
    </row>
    <row r="32" spans="1:16" ht="15" customHeight="1" x14ac:dyDescent="0.3">
      <c r="A32" s="848"/>
      <c r="B32" s="292"/>
      <c r="C32" s="292"/>
      <c r="D32" s="827" t="s">
        <v>92</v>
      </c>
      <c r="E32" s="796"/>
      <c r="F32" s="828">
        <f>SUM('CO | Lounge'!N10:N12)</f>
        <v>5693</v>
      </c>
      <c r="I32" s="796"/>
      <c r="J32" s="797"/>
      <c r="K32" s="283"/>
    </row>
    <row r="33" spans="1:16" ht="15" customHeight="1" x14ac:dyDescent="0.3">
      <c r="A33" s="848"/>
      <c r="B33" s="292"/>
      <c r="C33" s="292"/>
      <c r="D33" s="827" t="s">
        <v>93</v>
      </c>
      <c r="E33" s="796"/>
      <c r="F33" s="828">
        <f>SUM('CO | Lounge'!N36:N39)</f>
        <v>2487</v>
      </c>
    </row>
    <row r="34" spans="1:16" ht="15" customHeight="1" x14ac:dyDescent="0.3">
      <c r="A34" s="848"/>
      <c r="B34" s="292"/>
      <c r="C34" s="292"/>
      <c r="D34" s="827" t="s">
        <v>94</v>
      </c>
      <c r="E34" s="796"/>
      <c r="F34" s="828">
        <f>SUM('CO | Lounge'!N61:N63)</f>
        <v>5445</v>
      </c>
    </row>
    <row r="35" spans="1:16" ht="15" customHeight="1" x14ac:dyDescent="0.3">
      <c r="A35" s="848"/>
      <c r="B35" s="292"/>
      <c r="C35" s="292"/>
      <c r="D35" s="829" t="s">
        <v>176</v>
      </c>
      <c r="E35" s="796"/>
      <c r="F35" s="828">
        <f>SUM('CO | Lounge'!N87:N88)</f>
        <v>6274</v>
      </c>
    </row>
    <row r="36" spans="1:16" ht="15" customHeight="1" x14ac:dyDescent="0.3">
      <c r="A36" s="848"/>
      <c r="B36" s="292"/>
      <c r="C36" s="295"/>
      <c r="D36" s="829" t="s">
        <v>178</v>
      </c>
      <c r="E36" s="796"/>
      <c r="F36" s="828">
        <f>SUM('CO | Lounge'!N114:N115)</f>
        <v>5002</v>
      </c>
    </row>
    <row r="37" spans="1:16" ht="15" customHeight="1" x14ac:dyDescent="0.3">
      <c r="A37" s="351"/>
      <c r="B37" s="292"/>
      <c r="C37" s="295"/>
      <c r="D37" s="829" t="s">
        <v>179</v>
      </c>
      <c r="E37" s="796"/>
      <c r="F37" s="828">
        <f>SUM('CO | Lounge'!N141:N144)</f>
        <v>4284</v>
      </c>
    </row>
    <row r="38" spans="1:16" ht="15" customHeight="1" x14ac:dyDescent="0.3">
      <c r="A38" s="351"/>
      <c r="B38" s="292"/>
      <c r="C38" s="295"/>
      <c r="D38" s="829" t="s">
        <v>188</v>
      </c>
      <c r="E38" s="796"/>
      <c r="F38" s="828">
        <f>SUM('CO | Lounge'!N166:N167)</f>
        <v>6598</v>
      </c>
    </row>
    <row r="39" spans="1:16" ht="15" customHeight="1" x14ac:dyDescent="0.3">
      <c r="A39" s="351"/>
      <c r="B39" s="292"/>
      <c r="C39" s="295"/>
      <c r="D39" s="829" t="s">
        <v>191</v>
      </c>
      <c r="E39" s="796"/>
      <c r="F39" s="828">
        <f>SUM('CO | Lounge'!N193:N194)</f>
        <v>7305</v>
      </c>
    </row>
    <row r="40" spans="1:16" ht="15" customHeight="1" x14ac:dyDescent="0.3">
      <c r="A40" s="351"/>
      <c r="B40" s="292"/>
      <c r="C40" s="292"/>
      <c r="D40" s="829" t="s">
        <v>194</v>
      </c>
      <c r="E40" s="796"/>
      <c r="F40" s="828">
        <f>SUM('CO | Lounge'!N220:N221)</f>
        <v>7326</v>
      </c>
    </row>
    <row r="41" spans="1:16" ht="15" customHeight="1" x14ac:dyDescent="0.3">
      <c r="A41" s="351"/>
      <c r="B41" s="292"/>
      <c r="C41" s="296"/>
      <c r="D41" s="827" t="s">
        <v>89</v>
      </c>
      <c r="E41" s="796"/>
      <c r="F41" s="828">
        <f>SUM('CO | Teaming'!N10:N16)</f>
        <v>13457</v>
      </c>
    </row>
    <row r="42" spans="1:16" ht="15" customHeight="1" x14ac:dyDescent="0.3">
      <c r="A42" s="351"/>
      <c r="B42" s="292"/>
      <c r="C42" s="295"/>
      <c r="D42" s="827" t="s">
        <v>90</v>
      </c>
      <c r="E42" s="796"/>
      <c r="F42" s="828">
        <f>SUM('CO | Teaming'!N32:N38)</f>
        <v>15899</v>
      </c>
    </row>
    <row r="43" spans="1:16" s="51" customFormat="1" ht="15" customHeight="1" x14ac:dyDescent="0.3">
      <c r="A43" s="351"/>
      <c r="B43" s="294"/>
      <c r="C43" s="295"/>
      <c r="D43" s="827" t="s">
        <v>91</v>
      </c>
      <c r="E43" s="311"/>
      <c r="F43" s="828">
        <f>SUM('CO | Teaming'!N54:N58)</f>
        <v>14739</v>
      </c>
      <c r="G43" s="281"/>
      <c r="H43" s="281"/>
      <c r="I43" s="281"/>
      <c r="J43" s="281"/>
      <c r="K43" s="281"/>
      <c r="L43" s="281"/>
      <c r="M43" s="281"/>
      <c r="N43" s="281"/>
      <c r="O43" s="281"/>
    </row>
    <row r="44" spans="1:16" s="53" customFormat="1" ht="15" customHeight="1" x14ac:dyDescent="0.3">
      <c r="A44" s="351"/>
      <c r="B44" s="297"/>
      <c r="C44" s="295"/>
      <c r="D44" s="292"/>
      <c r="E44" s="282"/>
      <c r="F44" s="810"/>
      <c r="G44" s="282"/>
      <c r="H44" s="282"/>
      <c r="I44" s="282"/>
      <c r="J44" s="282"/>
      <c r="K44" s="282"/>
      <c r="L44" s="282"/>
      <c r="M44" s="282"/>
      <c r="N44" s="282"/>
      <c r="O44" s="282"/>
      <c r="P44" s="352"/>
    </row>
    <row r="45" spans="1:16" s="53" customFormat="1" ht="15" thickBot="1" x14ac:dyDescent="0.35">
      <c r="A45" s="802"/>
      <c r="B45" s="297"/>
      <c r="C45" s="306"/>
      <c r="D45" s="800" t="s">
        <v>11</v>
      </c>
      <c r="E45" s="804"/>
      <c r="F45" s="812"/>
      <c r="G45" s="282"/>
      <c r="H45" s="282"/>
      <c r="I45" s="282"/>
      <c r="J45" s="282"/>
      <c r="K45" s="282"/>
      <c r="L45" s="282"/>
      <c r="M45" s="282"/>
      <c r="N45" s="282"/>
      <c r="O45" s="282"/>
    </row>
    <row r="46" spans="1:16" s="53" customFormat="1" x14ac:dyDescent="0.3">
      <c r="A46" s="802"/>
      <c r="B46" s="297"/>
      <c r="C46" s="292"/>
      <c r="D46" s="837" t="s">
        <v>99</v>
      </c>
      <c r="E46" s="838"/>
      <c r="F46" s="839">
        <f>SUM('CE | Meeting'!N10:N13)</f>
        <v>21503</v>
      </c>
      <c r="G46" s="282"/>
      <c r="H46" s="282"/>
      <c r="I46" s="282"/>
      <c r="J46" s="282"/>
      <c r="K46" s="282"/>
      <c r="L46" s="282"/>
      <c r="M46" s="282"/>
      <c r="N46" s="282"/>
      <c r="O46" s="282"/>
    </row>
    <row r="47" spans="1:16" x14ac:dyDescent="0.3">
      <c r="A47" s="300"/>
      <c r="B47" s="292"/>
      <c r="C47" s="294"/>
      <c r="D47" s="829" t="s">
        <v>97</v>
      </c>
      <c r="E47" s="796"/>
      <c r="F47" s="828">
        <f>SUM('CE | Meeting'!N35:N36)</f>
        <v>6341</v>
      </c>
    </row>
    <row r="48" spans="1:16" x14ac:dyDescent="0.3">
      <c r="A48" s="300"/>
      <c r="B48" s="292"/>
      <c r="C48" s="295"/>
      <c r="D48" s="829" t="s">
        <v>98</v>
      </c>
      <c r="E48" s="796"/>
      <c r="F48" s="828">
        <f>SUM('CE | Meeting'!N62:N63)</f>
        <v>5472</v>
      </c>
    </row>
    <row r="49" spans="1:6" x14ac:dyDescent="0.3">
      <c r="A49" s="300"/>
      <c r="B49" s="292"/>
      <c r="C49" s="295"/>
      <c r="D49" s="829" t="s">
        <v>262</v>
      </c>
      <c r="E49" s="796"/>
      <c r="F49" s="828">
        <f>SUM('CE | Meeting'!N89:N90)</f>
        <v>9312</v>
      </c>
    </row>
    <row r="50" spans="1:6" x14ac:dyDescent="0.3">
      <c r="A50" s="300"/>
      <c r="B50" s="292"/>
      <c r="C50" s="295"/>
      <c r="D50" s="827" t="s">
        <v>391</v>
      </c>
      <c r="E50" s="796"/>
      <c r="F50" s="828">
        <f>SUM('CE | Project'!N10:N14)</f>
        <v>11680</v>
      </c>
    </row>
    <row r="51" spans="1:6" x14ac:dyDescent="0.3">
      <c r="A51" s="300"/>
      <c r="B51" s="292"/>
      <c r="C51" s="295"/>
      <c r="D51" s="827" t="s">
        <v>392</v>
      </c>
      <c r="E51" s="796"/>
      <c r="F51" s="828">
        <f>SUM('CE | Project'!N34:N39)</f>
        <v>9169</v>
      </c>
    </row>
    <row r="52" spans="1:6" x14ac:dyDescent="0.3">
      <c r="A52" s="300"/>
      <c r="B52" s="292"/>
      <c r="C52" s="292"/>
      <c r="D52" s="827" t="s">
        <v>393</v>
      </c>
      <c r="E52" s="796"/>
      <c r="F52" s="828">
        <f>SUM('CE | Project'!N57:N58)</f>
        <v>10213</v>
      </c>
    </row>
    <row r="53" spans="1:6" x14ac:dyDescent="0.3">
      <c r="A53" s="300"/>
      <c r="B53" s="292"/>
      <c r="C53" s="292"/>
      <c r="D53" s="827" t="s">
        <v>394</v>
      </c>
      <c r="E53" s="796"/>
      <c r="F53" s="828">
        <f>SUM('CE | Work'!N10:N11)</f>
        <v>4266</v>
      </c>
    </row>
    <row r="54" spans="1:6" x14ac:dyDescent="0.3">
      <c r="A54" s="300"/>
      <c r="B54" s="292"/>
      <c r="C54" s="292"/>
      <c r="D54" s="827" t="s">
        <v>395</v>
      </c>
      <c r="E54" s="796"/>
      <c r="F54" s="828">
        <f>SUM('CE | Work'!N37:N39)</f>
        <v>6065</v>
      </c>
    </row>
    <row r="55" spans="1:6" x14ac:dyDescent="0.3">
      <c r="A55" s="300"/>
      <c r="B55" s="292"/>
      <c r="C55" s="292"/>
      <c r="D55" s="292"/>
    </row>
    <row r="56" spans="1:6" ht="15" thickBot="1" x14ac:dyDescent="0.35">
      <c r="A56" s="300"/>
      <c r="B56" s="292"/>
      <c r="C56" s="308"/>
      <c r="D56" s="801" t="s">
        <v>84</v>
      </c>
      <c r="E56" s="805"/>
      <c r="F56" s="813"/>
    </row>
    <row r="57" spans="1:6" x14ac:dyDescent="0.3">
      <c r="A57" s="300"/>
      <c r="B57" s="292"/>
      <c r="C57" s="292"/>
      <c r="D57" s="840" t="s">
        <v>95</v>
      </c>
      <c r="E57" s="841"/>
      <c r="F57" s="842">
        <f>SUM('SS | Filing'!N10:N15)</f>
        <v>7781</v>
      </c>
    </row>
    <row r="58" spans="1:6" x14ac:dyDescent="0.3">
      <c r="A58" s="300"/>
      <c r="B58" s="292"/>
      <c r="C58" s="292"/>
      <c r="D58" s="827" t="s">
        <v>96</v>
      </c>
      <c r="E58" s="796"/>
      <c r="F58" s="828">
        <f>SUM('SS | Lockers'!N10:N13)</f>
        <v>9950</v>
      </c>
    </row>
    <row r="59" spans="1:6" x14ac:dyDescent="0.3">
      <c r="A59" s="300"/>
      <c r="B59" s="292"/>
      <c r="C59" s="292"/>
      <c r="D59" s="292"/>
    </row>
    <row r="60" spans="1:6" x14ac:dyDescent="0.3">
      <c r="A60" s="300"/>
      <c r="B60" s="292"/>
      <c r="C60" s="292"/>
      <c r="D60" s="292"/>
    </row>
    <row r="61" spans="1:6" x14ac:dyDescent="0.3">
      <c r="A61" s="300"/>
      <c r="B61" s="292"/>
      <c r="C61" s="292"/>
      <c r="D61" s="292"/>
    </row>
    <row r="62" spans="1:6" x14ac:dyDescent="0.3">
      <c r="A62" s="300"/>
      <c r="B62" s="292"/>
      <c r="C62" s="292"/>
      <c r="D62" s="292"/>
    </row>
    <row r="63" spans="1:6" x14ac:dyDescent="0.3">
      <c r="A63" s="300"/>
      <c r="B63" s="292"/>
      <c r="C63" s="292"/>
      <c r="D63" s="292"/>
    </row>
  </sheetData>
  <sheetProtection sheet="1" objects="1" scenarios="1" selectLockedCells="1"/>
  <mergeCells count="1">
    <mergeCell ref="A2:A36"/>
  </mergeCells>
  <printOptions verticalCentered="1"/>
  <pageMargins left="0.5" right="0.5" top="0" bottom="0" header="0.3" footer="0.3"/>
  <pageSetup paperSize="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EBDA"/>
  </sheetPr>
  <dimension ref="A1:R154"/>
  <sheetViews>
    <sheetView showGridLines="0" zoomScaleNormal="100" zoomScalePageLayoutView="70" workbookViewId="0"/>
  </sheetViews>
  <sheetFormatPr defaultColWidth="3.21875" defaultRowHeight="18" customHeight="1" x14ac:dyDescent="0.45"/>
  <cols>
    <col min="1" max="1" width="5.77734375" style="490" customWidth="1"/>
    <col min="2" max="2" width="2.77734375" customWidth="1"/>
    <col min="3" max="3" width="5.77734375" style="478" customWidth="1"/>
    <col min="4" max="4" width="28.77734375" style="478" customWidth="1"/>
    <col min="5" max="6" width="5.77734375" style="503" customWidth="1"/>
    <col min="7" max="9" width="16" style="486" customWidth="1"/>
    <col min="10" max="10" width="35.109375" style="486" customWidth="1"/>
    <col min="11" max="11" width="24.77734375" style="478" customWidth="1"/>
    <col min="12" max="12" width="15.33203125" style="478" hidden="1" customWidth="1"/>
    <col min="13" max="13" width="15.33203125" style="478" customWidth="1"/>
    <col min="14" max="14" width="24.88671875" style="478" customWidth="1"/>
    <col min="15" max="16384" width="3.21875" style="478"/>
  </cols>
  <sheetData>
    <row r="1" spans="1:18" ht="35.25" customHeight="1" x14ac:dyDescent="0.45">
      <c r="A1" s="487"/>
      <c r="B1" s="249"/>
      <c r="C1" s="527"/>
      <c r="D1" s="527"/>
      <c r="E1" s="499"/>
      <c r="F1" s="499"/>
      <c r="G1" s="491"/>
      <c r="H1" s="491"/>
      <c r="I1" s="491"/>
      <c r="J1" s="491"/>
      <c r="K1" s="485"/>
      <c r="L1" s="485"/>
      <c r="M1" s="485"/>
      <c r="N1" s="485"/>
      <c r="O1" s="485"/>
      <c r="P1" s="485"/>
      <c r="Q1" s="485"/>
      <c r="R1" s="485"/>
    </row>
    <row r="2" spans="1:18" s="521" customFormat="1" ht="32.4" customHeight="1" x14ac:dyDescent="0.3">
      <c r="A2" s="864" t="s">
        <v>332</v>
      </c>
      <c r="B2" s="520"/>
      <c r="C2" s="520" t="s">
        <v>405</v>
      </c>
      <c r="D2" s="520"/>
      <c r="E2" s="500"/>
      <c r="F2" s="500"/>
      <c r="G2" s="500"/>
      <c r="H2" s="500"/>
      <c r="I2" s="500"/>
      <c r="J2" s="500"/>
      <c r="L2" s="298"/>
      <c r="M2" s="298"/>
      <c r="N2" s="847" t="s">
        <v>34</v>
      </c>
      <c r="O2" s="298"/>
      <c r="P2" s="298"/>
      <c r="Q2" s="298"/>
      <c r="R2" s="298"/>
    </row>
    <row r="3" spans="1:18" s="526" customFormat="1" ht="25.8" customHeight="1" x14ac:dyDescent="0.5">
      <c r="A3" s="865"/>
      <c r="B3" s="522"/>
      <c r="C3" s="251" t="s">
        <v>475</v>
      </c>
      <c r="D3" s="522"/>
      <c r="E3" s="524"/>
      <c r="F3" s="524"/>
      <c r="G3" s="525"/>
      <c r="H3" s="525"/>
      <c r="I3" s="525"/>
      <c r="J3" s="525"/>
      <c r="K3" s="523"/>
      <c r="L3" s="523"/>
      <c r="M3" s="523"/>
      <c r="N3" s="523"/>
      <c r="O3" s="523"/>
      <c r="P3" s="523"/>
      <c r="Q3" s="523"/>
      <c r="R3" s="523"/>
    </row>
    <row r="4" spans="1:18" s="526" customFormat="1" ht="25.8" customHeight="1" x14ac:dyDescent="0.5">
      <c r="A4" s="865"/>
      <c r="B4" s="522"/>
      <c r="C4" s="522" t="str">
        <f>"COST (EST.): "&amp;TEXT(SUM(M11:M26),"$0,000.00")</f>
        <v>COST (EST.): $5,918.00</v>
      </c>
      <c r="D4" s="522"/>
      <c r="E4" s="524"/>
      <c r="F4" s="524"/>
      <c r="G4" s="525"/>
      <c r="H4" s="525"/>
      <c r="I4" s="525"/>
      <c r="J4" s="525"/>
      <c r="K4" s="523"/>
      <c r="L4" s="523"/>
      <c r="M4" s="523"/>
      <c r="N4" s="523"/>
      <c r="O4" s="523"/>
      <c r="P4" s="523"/>
      <c r="Q4" s="523"/>
      <c r="R4" s="523"/>
    </row>
    <row r="5" spans="1:18" ht="72" customHeight="1" x14ac:dyDescent="0.3">
      <c r="A5" s="865"/>
      <c r="B5" s="249"/>
      <c r="C5" s="527"/>
      <c r="D5" s="527"/>
      <c r="E5" s="499"/>
      <c r="F5" s="499"/>
      <c r="G5" s="491"/>
      <c r="H5" s="491"/>
      <c r="I5" s="491"/>
      <c r="J5" s="491"/>
      <c r="K5" s="485"/>
      <c r="L5" s="485"/>
      <c r="M5" s="485"/>
      <c r="N5" s="485"/>
      <c r="O5" s="485"/>
      <c r="P5" s="485"/>
      <c r="Q5" s="485"/>
      <c r="R5" s="485"/>
    </row>
    <row r="6" spans="1:18" ht="72" customHeight="1" x14ac:dyDescent="0.3">
      <c r="A6" s="865"/>
      <c r="B6" s="249"/>
      <c r="C6" s="527"/>
      <c r="D6" s="527"/>
      <c r="E6" s="499"/>
      <c r="F6" s="499"/>
      <c r="G6" s="491"/>
      <c r="H6" s="491"/>
      <c r="I6" s="491"/>
      <c r="J6" s="491"/>
      <c r="K6" s="485"/>
      <c r="L6" s="485"/>
      <c r="M6" s="485"/>
      <c r="N6" s="485"/>
      <c r="O6" s="485"/>
      <c r="P6" s="485"/>
      <c r="Q6" s="485"/>
      <c r="R6" s="485"/>
    </row>
    <row r="7" spans="1:18" ht="72" customHeight="1" x14ac:dyDescent="0.3">
      <c r="A7" s="865"/>
      <c r="B7" s="249"/>
      <c r="C7" s="527"/>
      <c r="D7" s="527"/>
      <c r="E7" s="499"/>
      <c r="F7" s="499"/>
      <c r="G7" s="491"/>
      <c r="H7" s="491"/>
      <c r="I7" s="491"/>
      <c r="J7" s="491"/>
      <c r="K7" s="485"/>
      <c r="L7" s="485"/>
      <c r="M7" s="485"/>
      <c r="N7" s="485"/>
      <c r="O7" s="485"/>
      <c r="P7" s="485"/>
      <c r="Q7" s="485"/>
      <c r="R7" s="485"/>
    </row>
    <row r="8" spans="1:18" ht="72" customHeight="1" x14ac:dyDescent="0.3">
      <c r="A8" s="865"/>
      <c r="B8" s="249"/>
      <c r="C8" s="527"/>
      <c r="D8" s="527"/>
      <c r="E8" s="499"/>
      <c r="F8" s="501"/>
      <c r="G8" s="491"/>
      <c r="H8" s="491"/>
      <c r="I8" s="491"/>
      <c r="J8" s="491"/>
      <c r="K8" s="485"/>
      <c r="L8" s="485"/>
      <c r="M8" s="485"/>
      <c r="N8" s="485"/>
      <c r="O8" s="485"/>
      <c r="P8" s="485"/>
      <c r="Q8" s="485"/>
      <c r="R8" s="485"/>
    </row>
    <row r="9" spans="1:18" s="492" customFormat="1" ht="18" customHeight="1" thickBot="1" x14ac:dyDescent="0.35">
      <c r="A9" s="247"/>
      <c r="B9" s="252"/>
      <c r="C9" s="493" t="s">
        <v>1</v>
      </c>
      <c r="D9" s="367"/>
      <c r="E9" s="254" t="s">
        <v>2</v>
      </c>
      <c r="F9" s="254" t="s">
        <v>3</v>
      </c>
      <c r="G9" s="262" t="s">
        <v>4</v>
      </c>
      <c r="H9" s="268" t="s">
        <v>5</v>
      </c>
      <c r="I9" s="511" t="s">
        <v>6</v>
      </c>
      <c r="J9" s="259" t="s">
        <v>7</v>
      </c>
      <c r="K9" s="259" t="s">
        <v>8</v>
      </c>
      <c r="L9" s="259" t="s">
        <v>283</v>
      </c>
      <c r="M9" s="259" t="s">
        <v>352</v>
      </c>
      <c r="N9" s="268" t="s">
        <v>10</v>
      </c>
    </row>
    <row r="10" spans="1:18" s="496" customFormat="1" ht="18" customHeight="1" thickBot="1" x14ac:dyDescent="0.3">
      <c r="A10" s="494"/>
      <c r="B10" s="495"/>
      <c r="C10" s="508" t="s">
        <v>420</v>
      </c>
      <c r="D10" s="509"/>
      <c r="E10" s="510"/>
      <c r="F10" s="510"/>
      <c r="G10" s="512"/>
      <c r="H10" s="497"/>
      <c r="I10" s="513"/>
      <c r="J10" s="510"/>
      <c r="K10" s="510"/>
      <c r="L10" s="510"/>
      <c r="M10" s="510"/>
      <c r="N10" s="497"/>
    </row>
    <row r="11" spans="1:18" s="479" customFormat="1" ht="18" customHeight="1" x14ac:dyDescent="0.45">
      <c r="A11" s="488"/>
      <c r="B11" s="249"/>
      <c r="C11" s="873">
        <v>1</v>
      </c>
      <c r="D11" s="700" t="s">
        <v>406</v>
      </c>
      <c r="E11" s="701" t="s">
        <v>294</v>
      </c>
      <c r="F11" s="701">
        <v>1</v>
      </c>
      <c r="G11" s="874" t="str">
        <f>IF(G20="1219 mm (48 in.)", "1219 mm (48 in.)", IF(G20="1372 mm (54 in.)", "1372 mm (54 in.)", IF(G20="1524 mm (60 in.)", "1524 mm (60 in.)", IF(G20="1676 mm (66 in.)", "1524 mm (60 in.)", IF(G20="1829 mm (72 in.)", "1524 mm (60 in.)", 0)))))</f>
        <v>1219 mm (48 in.)</v>
      </c>
      <c r="H11" s="861" t="s">
        <v>465</v>
      </c>
      <c r="I11" s="875" t="s">
        <v>464</v>
      </c>
      <c r="J11" s="876" t="s">
        <v>423</v>
      </c>
      <c r="K11" s="702" t="s">
        <v>29</v>
      </c>
      <c r="L11" s="703">
        <f>IF(AND(J11="Non-powered",K11="Fabric",G11="1219 mm (48 in.)"),1230.82,IF(AND(J11="Power Below Worksurface",K11="Fabric",G11="1219 mm (48 in.)"),1429.18,IF(AND(J11="Power Above Worksurface",K11="Fabric",G11="1219mm (48 in.)"),1039.75,IF(AND(J11="Non-powered",K11="Fabric",G11="1372 mm (54 in.)"),1318.1,IF(AND(J11="Power Below Worksurface",K11="Fabric",G11="1372 mm (54 in.)"),1516.46,IF(AND(J11="Power Above Worksurface",K11="Fabric",G11="1372 mm (54 in.)"),1105.95,IF(AND(J11="Non-powered",K11="Fabric",G11="1524 mm (60 in.)"),1405.37,IF(AND(J11="Power Below Worksurface",K11="Fabric",G11="1524 mm (60 in.)"),1603.73,IF(AND(J11="Power Above Worksurface",K11="Fabric",G11="1524 mm (60 in.)"),1172.14,)))))))))</f>
        <v>1429.18</v>
      </c>
      <c r="M11" s="807">
        <f t="shared" ref="M11:M23" si="0">ROUNDUP(L11*0.6, 0)</f>
        <v>858</v>
      </c>
      <c r="N11" s="693" t="s">
        <v>36</v>
      </c>
      <c r="P11" s="480"/>
    </row>
    <row r="12" spans="1:18" s="479" customFormat="1" ht="18" customHeight="1" x14ac:dyDescent="0.45">
      <c r="A12" s="488"/>
      <c r="B12" s="249"/>
      <c r="C12" s="867"/>
      <c r="D12" s="704" t="s">
        <v>408</v>
      </c>
      <c r="E12" s="705" t="s">
        <v>466</v>
      </c>
      <c r="F12" s="706">
        <v>1</v>
      </c>
      <c r="G12" s="868"/>
      <c r="H12" s="857"/>
      <c r="I12" s="871"/>
      <c r="J12" s="872"/>
      <c r="K12" s="707" t="s">
        <v>29</v>
      </c>
      <c r="L12" s="708">
        <f>IF(AND(J11="Non-powered",K12="Fabric",G11="1219 mm (48 in.)"),742.83,IF(AND(J11="Power Below Worksurface",K12="Fabric",G11="1219 mm (48 in.)"),941.19,IF(AND(J11="Power Above Worksurface",K12="Fabric",G11="1219 mm (48 in.)"),551.76,IF(AND(J11="Non-powered",K12="Fabric",G11="1372 mm (54 in.)"),797.48,IF(AND(J11="Power Below Worksurface",K12="Fabric",G11="1372 mm (54 in.)"),995.84,IF(AND(J11="Power Above Worksurface",K12="Fabric",G11="1372 mm (54 in.)"),585.33,IF(AND(J11="Non-powered",K12="Fabric"),852.13,IF(AND(J11="Power Below Worksurface",K12="Fabric"),1050.49,IF(AND(J11="Power Above Worksurface",K12="Fabric"),618.9,)))))))))</f>
        <v>941.19</v>
      </c>
      <c r="M12" s="808">
        <f t="shared" si="0"/>
        <v>565</v>
      </c>
      <c r="N12" s="694" t="s">
        <v>36</v>
      </c>
      <c r="P12" s="480"/>
    </row>
    <row r="13" spans="1:18" s="479" customFormat="1" ht="18" customHeight="1" x14ac:dyDescent="0.3">
      <c r="A13" s="442"/>
      <c r="B13" s="249"/>
      <c r="C13" s="867">
        <v>2</v>
      </c>
      <c r="D13" s="709" t="s">
        <v>406</v>
      </c>
      <c r="E13" s="710" t="s">
        <v>294</v>
      </c>
      <c r="F13" s="710">
        <v>1</v>
      </c>
      <c r="G13" s="868" t="str">
        <f>IF(G20="1219 mm (48 in.)", "610 mm (24 in.)",IF(G20="1372 mm (54 in.)", "610 mm (24 in.)",IF(G20="1524 mm (60 in.)", "610 mm (24 in.)",IF(G20="1676 mm (66 in.)", "762 mm (30 in.)",IF(G20="1829 mm (72 in.)", "914 mm (36 in.)")))))</f>
        <v>610 mm (24 in.)</v>
      </c>
      <c r="H13" s="856" t="s">
        <v>465</v>
      </c>
      <c r="I13" s="871" t="s">
        <v>464</v>
      </c>
      <c r="J13" s="872" t="s">
        <v>407</v>
      </c>
      <c r="K13" s="711" t="s">
        <v>29</v>
      </c>
      <c r="L13" s="712">
        <f>IF(AND(J13="Non-powered",K13="Fabric",G13="610 mm (24 in.)"),881.75,IF(AND(J13="Power Below Worksurface",K13="Fabric",G13="610 mm (24 in.)"),1080.11,IF(AND(J13="Power Above Worksurface",K13="Fabric",G13="610 mm (24 in.)"),775.01,IF(AND(J13="Non-powered",K13="Fabric",G13="762 mm (30 in.)"),969.01,IF(AND(J13="Power Below Worksurface",K13="Fabric",G13="762 mm (30 in.)"),1167.37,IF(AND(J13="Power Above Worksurface",K13="Fabric",G13= "762 mm (30 in.)"),841.18,IF(AND(J13="Non-powered",K13="Fabric",G13="914 mm (36 in.)"),1056.29,IF(AND(J13="Power Below Worksurface",K13="Fabric",G13="914 mm (36 in.)"),1254.65,IF(AND(J13="Power Above Worksurface",K13="Fabric",G13="914 mm (36 in.)"),907.38,)))))))))</f>
        <v>881.75</v>
      </c>
      <c r="M13" s="809">
        <f t="shared" si="0"/>
        <v>530</v>
      </c>
      <c r="N13" s="695" t="s">
        <v>36</v>
      </c>
      <c r="P13" s="480"/>
    </row>
    <row r="14" spans="1:18" s="479" customFormat="1" ht="18" customHeight="1" x14ac:dyDescent="0.3">
      <c r="A14" s="442"/>
      <c r="B14" s="249"/>
      <c r="C14" s="867"/>
      <c r="D14" s="713" t="s">
        <v>408</v>
      </c>
      <c r="E14" s="706" t="s">
        <v>466</v>
      </c>
      <c r="F14" s="706">
        <v>1</v>
      </c>
      <c r="G14" s="868"/>
      <c r="H14" s="857"/>
      <c r="I14" s="871"/>
      <c r="J14" s="872"/>
      <c r="K14" s="707" t="s">
        <v>29</v>
      </c>
      <c r="L14" s="708">
        <f>IF(AND(J13="Non-powered",K14="Fabric",G13="610 mm (24 in.)"),524.22,IF(AND(J13="Power Below Worksurface",K14="Fabric",G13="610 mm (24 in.)"),717.22,IF(AND(J13="Power Above Worksurface",K14="Fabric",G13="610 mm (24 in.)"),417.48,IF(AND(J13="Non-powered",K14="Fabric",G13="762 mm (30 in.)"),578.87,IF(AND(J13="Power Below Worksurface",K14="Fabric",G13="762 mm (30 in.)"),777.23,IF(AND(J13="Power Above Worksurface",K14="Fabric",G13="762 mm (30 in.)"),451.05,IF(AND(J13="Non-powered",K14="Fabric",G13="914 mm (36 in.)"),633.53,IF(AND(J13="Power Below Worksurface",K14="Fabric",G13="914 mm (36 in.)"),831.89,IF(AND(J13="Power Above Worksurface",K14="Fabric",G13="914 mm (36 in.)"),484.62,)))))))))</f>
        <v>524.22</v>
      </c>
      <c r="M14" s="809">
        <f t="shared" si="0"/>
        <v>315</v>
      </c>
      <c r="N14" s="694" t="s">
        <v>36</v>
      </c>
      <c r="P14" s="480"/>
    </row>
    <row r="15" spans="1:18" s="479" customFormat="1" ht="18" customHeight="1" x14ac:dyDescent="0.3">
      <c r="A15" s="442"/>
      <c r="B15" s="249"/>
      <c r="C15" s="867">
        <v>3</v>
      </c>
      <c r="D15" s="709" t="s">
        <v>406</v>
      </c>
      <c r="E15" s="710" t="s">
        <v>294</v>
      </c>
      <c r="F15" s="714">
        <v>1</v>
      </c>
      <c r="G15" s="868" t="s">
        <v>56</v>
      </c>
      <c r="H15" s="856" t="s">
        <v>465</v>
      </c>
      <c r="I15" s="871" t="s">
        <v>464</v>
      </c>
      <c r="J15" s="872" t="s">
        <v>423</v>
      </c>
      <c r="K15" s="711" t="s">
        <v>409</v>
      </c>
      <c r="L15" s="712">
        <f>IF(K15="Frosted Acrylic",938.55,IF(AND(J15="Non-powered",K15="Fabric",G15=30),969.01,IF(AND(J15="Power Below Worksurface",K15="Fabric",G15=30),1167.37,IF(AND(J15="Power Above Worksurface",K15="Fabric",G15=30),841.18,))))</f>
        <v>938.55</v>
      </c>
      <c r="M15" s="809">
        <f t="shared" si="0"/>
        <v>564</v>
      </c>
      <c r="N15" s="696" t="str">
        <f>IF(K15="Frosted Acrylic","1bCPSXXNXXL30XFRNNN",IF(K15="Fabric","N/A",))</f>
        <v>1bCPSXXNXXL30XFRNNN</v>
      </c>
    </row>
    <row r="16" spans="1:18" s="479" customFormat="1" ht="18" customHeight="1" x14ac:dyDescent="0.3">
      <c r="A16" s="442"/>
      <c r="B16" s="249"/>
      <c r="C16" s="867"/>
      <c r="D16" s="713" t="s">
        <v>408</v>
      </c>
      <c r="E16" s="706" t="s">
        <v>466</v>
      </c>
      <c r="F16" s="706">
        <v>1</v>
      </c>
      <c r="G16" s="868"/>
      <c r="H16" s="857"/>
      <c r="I16" s="871"/>
      <c r="J16" s="872"/>
      <c r="K16" s="707" t="s">
        <v>29</v>
      </c>
      <c r="L16" s="708">
        <f>IF(AND(J15="Non-powered",K16="Fabric",G15="762 mm (30 in.)"),578.87,IF(AND(J15="Power Below Worksurface",K16="Fabric",G15="762 mm (30 in.)"),777.23,IF(AND(J15="Power Above Worksurface",K16="Fabric",G15="762 mm (30 in.)"),451.05,)))</f>
        <v>777.23</v>
      </c>
      <c r="M16" s="809">
        <f t="shared" si="0"/>
        <v>467</v>
      </c>
      <c r="N16" s="694" t="s">
        <v>36</v>
      </c>
    </row>
    <row r="17" spans="1:15" s="479" customFormat="1" ht="18" customHeight="1" x14ac:dyDescent="0.45">
      <c r="A17" s="487"/>
      <c r="B17" s="249"/>
      <c r="C17" s="867">
        <v>4</v>
      </c>
      <c r="D17" s="709" t="s">
        <v>406</v>
      </c>
      <c r="E17" s="710" t="s">
        <v>294</v>
      </c>
      <c r="F17" s="714">
        <v>1</v>
      </c>
      <c r="G17" s="868" t="str">
        <f>IF(G19="1676 mm (66 in.)", "914 mm (36 in.)",IF(G19="1829 mm (72 in.)", "1067 mm (42 in.)", 0))</f>
        <v>914 mm (36 in.)</v>
      </c>
      <c r="H17" s="856" t="s">
        <v>465</v>
      </c>
      <c r="I17" s="871" t="s">
        <v>464</v>
      </c>
      <c r="J17" s="872" t="s">
        <v>407</v>
      </c>
      <c r="K17" s="711" t="s">
        <v>409</v>
      </c>
      <c r="L17" s="712">
        <f>IF(AND(K17="Frosted Acrylic",G17="914 mm (36 in.)"),971.04,IF(AND(K17="Frosted Acrylic",G17="1067 mm (42 in.)"),993.75,IF(AND(J17="Non-powered",K17="Fabric",G17="914 mm (36 in.)"),1056.29,IF(AND(J17="Power Below Worksurface",K17="Fabric",G17="914 mm (36 in.)"),1254.65,IF(AND(J17="Power Above Worksurface",K17="Fabric",G17="914 mm (36 in.)"),907.38,IF(AND(J17="Non-powered",K17="Fabric",G17="914 mm (36 in.)"),1056.29,IF(AND(J17="Power Below Worksurface",K17="Fabric",G17="914 mm (36 in.)"),1254.65,IF(AND(J17="Power Above Worksurface",K17="Fabric",G17="914 mm (36 in.)"),907.38,IF(AND(J17="Non-powered",K17="Fabric",G17="1067 mm (42 in.)"),1143.56,IF(AND(J17="Power Below Worksurface",K17="Fabric",G17="1067 mm (42 in.)"),1341.92,IF(AND(J17="Power Above Worksurface",K17="Fabric",G17="1067 mm (42 in.)"),973.58,)))))))))))</f>
        <v>971.04</v>
      </c>
      <c r="M17" s="809">
        <f t="shared" si="0"/>
        <v>583</v>
      </c>
      <c r="N17" s="695" t="str">
        <f>IF(AND(K17="Frosted Acrylic",G17="914 mm (36 in.)"),"1bCPSXXNXXL36XFRNNN",IF(AND(K17="Frosted Acrylic",G17="1067 mm (42 in.)"),"1bCPSXXNXXL42XFRNNN",IF(K17="Fabric","N/A",)))</f>
        <v>1bCPSXXNXXL36XFRNNN</v>
      </c>
    </row>
    <row r="18" spans="1:15" s="479" customFormat="1" ht="18" customHeight="1" x14ac:dyDescent="0.3">
      <c r="A18" s="441"/>
      <c r="B18" s="249"/>
      <c r="C18" s="867"/>
      <c r="D18" s="713" t="s">
        <v>408</v>
      </c>
      <c r="E18" s="706" t="s">
        <v>466</v>
      </c>
      <c r="F18" s="706">
        <v>1</v>
      </c>
      <c r="G18" s="868"/>
      <c r="H18" s="857"/>
      <c r="I18" s="871"/>
      <c r="J18" s="872"/>
      <c r="K18" s="707" t="s">
        <v>29</v>
      </c>
      <c r="L18" s="715">
        <f>IF(AND(J17="Non-powered",K18="Fabric",G17="914 mm (36 in.)"),633.53,IF(AND(J17="Power Below Worksurface",K18="Fabric",G17="914 mm (36 in.)"),831.89,IF(AND(J17="Power Above Worksurface",K18="Fabric",G17="914 mm (36 in.)"),484.62,IF(AND(J17="Non-powered",K18="Fabric",G17="1067 mm (42 in.)"),688.18,IF(AND(J17="Power Below Worksurface",K18="Fabric",G17="1067 mm (42 in.)"),886.54,IF(AND(J17="Power Above Worksurface",K18="Fabric",G17="1067 mm (42 in.)"),518.19,))))))</f>
        <v>633.53</v>
      </c>
      <c r="M18" s="809">
        <f t="shared" si="0"/>
        <v>381</v>
      </c>
      <c r="N18" s="694" t="s">
        <v>36</v>
      </c>
    </row>
    <row r="19" spans="1:15" s="504" customFormat="1" ht="34.5" customHeight="1" x14ac:dyDescent="0.3">
      <c r="A19" s="516"/>
      <c r="B19" s="517"/>
      <c r="C19" s="716" t="s">
        <v>13</v>
      </c>
      <c r="D19" s="776" t="s">
        <v>491</v>
      </c>
      <c r="E19" s="718" t="s">
        <v>294</v>
      </c>
      <c r="F19" s="719">
        <v>1</v>
      </c>
      <c r="G19" s="532" t="s">
        <v>130</v>
      </c>
      <c r="H19" s="720" t="s">
        <v>467</v>
      </c>
      <c r="I19" s="721" t="s">
        <v>42</v>
      </c>
      <c r="J19" s="533" t="s">
        <v>412</v>
      </c>
      <c r="K19" s="697" t="s">
        <v>30</v>
      </c>
      <c r="L19" s="722">
        <f>IF(AND(J19="C-Leg Worksurface",G19="1676 mm (66 in.)"),1213.8,IF(AND(J19="C-Leg Worksurface",G19="1829 mm (72 in.)"),1264.12,IF(AND(J19="Post Leg Worksurface",G19="1676 mm (66 in.)"),1037.01,IF(AND(J19="Post Leg Worksurface",G19="1829 mm (72 in.)"),1074.09,IF(AND(J19="2 Full Gables Worksurface",G19="1676 mm (66 in.)"),886.6,IF(AND(J19="2 Full Gables Worksurface",G19="1829 mm (72 in.)"),907.4,IF(AND(J19="Panel Hung Worksurface",G19="1676 mm (66 in.)"),649.87,IF(AND(J19="Panel Hung Worksurface",G19="1829 mm (72 in.)"),695.98))))))))</f>
        <v>1213.8</v>
      </c>
      <c r="M19" s="809">
        <f>ROUNDUP(L19*0.2, 0)</f>
        <v>243</v>
      </c>
      <c r="N19" s="697" t="str">
        <f>IF(AND(J19="C-Leg Worksurface",G19="1676 mm (66 in.)"),"1bFFHREC24L66WNOLNY",IF(AND(J19="C-Leg Worksurface",G19="1829 mm (72 in.)"),"1bFFHREC24L72WNOLNY",IF(AND(J19="Post Leg Worksurface",G19="1676 mm (66 in.)"),"1bFFHREL24L66WNOLNY",IF(AND(J19="Post Leg Worksurface",G19="1829 mm (72 in.)"),"1bFFHREL24L72WNOLNY",IF(AND(J19="2 Full Gables Worksurface",G19="1676 mm (66 in.)"),"1bFFHREG24L66WNOLNY",IF(AND(J19="2 Full Gables Worksurface",G19="1829 mm (72 in.)"),"1bFFHREG24L72WNOLNY",IF(AND(J19="Panel Hung Worksurface",G19="1676 mm (66 in.)"),"1bFFHREN24L66WNOLNY",IF(AND(J19="Panel Hung Worksurface",G19="1829 mm (72 in.)"),"1bFFHREN24L72WNOLNY"))))))))</f>
        <v>1bFFHREC24L66WNOLNY</v>
      </c>
      <c r="O19" s="505"/>
    </row>
    <row r="20" spans="1:15" s="504" customFormat="1" ht="34.5" customHeight="1" x14ac:dyDescent="0.3">
      <c r="A20" s="516"/>
      <c r="B20" s="517"/>
      <c r="C20" s="716" t="s">
        <v>14</v>
      </c>
      <c r="D20" s="776" t="s">
        <v>196</v>
      </c>
      <c r="E20" s="718">
        <v>2</v>
      </c>
      <c r="F20" s="719">
        <v>1</v>
      </c>
      <c r="G20" s="532" t="s">
        <v>40</v>
      </c>
      <c r="H20" s="720" t="s">
        <v>56</v>
      </c>
      <c r="I20" s="723" t="s">
        <v>211</v>
      </c>
      <c r="J20" s="533" t="s">
        <v>413</v>
      </c>
      <c r="K20" s="532" t="s">
        <v>30</v>
      </c>
      <c r="L20" s="722">
        <f>IF(AND(J20="Electric",G20="1219 mm (48 in.)"),2013.82,IF(AND(J20="Electric",G20="1372 mm (54 in.)"),2074.44,IF(AND(J20="Electric",G20="1524 mm (60 in.)"),2150.65,IF(AND(J20="Electric",G20="1676 mm (66 in.)"),2206.97,IF(AND(J20="Electric",G20="1829 mm (72 in.)"),2273.7,IF(AND(J20="Crank",G20="1219 mm (48 in.)"),1862.25,IF(AND(J20="Crank",G20="1372 mm (54 in.)"),1896.49,IF(AND(J20="Crank",G20="1524 mm (60 in.)"),1899.47,IF(AND(J20="Crank",G20="1676 mm (66 in.)"),1917.9,IF(AND(J20="Crank",G20="1829 mm (72 in.)"),1932.66,IF(AND(J20="Pneumatic",G20="1219 mm (48 in.)"),1830,IF(AND(J20="Pneumatic",G20="1372 mm (54 in.)"),2081.28,IF(AND(J20="Pneumatic",G20="1524 mm (60 in.)"),1908.14,IF(AND(J20="Pneumatic",G20="1676 mm (66 in.)"),2146.59,IF(AND(J20="Pneumatic",G20="1829 mm (72 in.)"),1977.89,)))))))))))))))</f>
        <v>2013.82</v>
      </c>
      <c r="M20" s="809">
        <f>ROUNDUP(L20*0.2, 0)</f>
        <v>403</v>
      </c>
      <c r="N20" s="698" t="str">
        <f>IF(AND(J20="Electric",G20="1219 mm (48 in.)"),"2WSSREXXL30L48BELXX",IF(AND(J20="Electric",G20="1372 mm (54 in.)"),"2WSSREXXL30L54BELXX",IF(AND(J20="Electric",G20="1524 mm (60 in.)"),"2WSSREXXL30L60BELXX",IF(AND(J20="Electric",G20="1676 mm (66 in.)"),"2WSSREXXL30L66BELXX",IF(AND(J20="Electric",G20="1829 mm (72 in.)"),"2WSSREXXL30L72BELXX",IF(AND(J20="Crank",G20="1219 mm (48 in.)"),"2WSSREXXL30L48BCKXX",IF(AND(J20="Crank",G20="1372 mm (54 in.)"),"2WSSREXXL30L54BCKXX",IF(AND(J20="Crank",G20="1524 mm (60 in.)"),"2WSSREXXL30L60BCKXX",IF(AND(J20="Crank",G20="1676 mm (66 in.)"),"2WSSREXXW30L66BCKXX",IF(AND(J20="Crank",G20="1829 mm (72 in.)"),"2WSSREXXL30L72BCKXX",IF(AND(J20="Pneumatic",G20="1219 mm (48 in.)"),"2WSSREXXL30L48BCBXX",IF(AND(J20="Pneumatic",G20="1372 mm (54 in.)"),"2WSSREXXL30L54BCBXX",IF(AND(J20="Pneumatic",G20="1524 mm (60 in.)"),"2WSSREXXL30L60BCBXX",IF(AND(J20="Pneumatic",G20="1676 mm (66 in.)"),"2WSSREXXL30L66BCBXX",IF(AND(J20="Pneumatic",G20="1829 mm (72 in.)"),"2WSSREXXL30L72BCBXX")))))))))))))))</f>
        <v>2WSSREXXL30L48BELXX</v>
      </c>
      <c r="O20" s="505"/>
    </row>
    <row r="21" spans="1:15" s="504" customFormat="1" ht="34.5" customHeight="1" x14ac:dyDescent="0.3">
      <c r="A21" s="516"/>
      <c r="B21" s="517"/>
      <c r="C21" s="716" t="s">
        <v>15</v>
      </c>
      <c r="D21" s="717" t="s">
        <v>197</v>
      </c>
      <c r="E21" s="718">
        <v>5</v>
      </c>
      <c r="F21" s="719">
        <v>1</v>
      </c>
      <c r="G21" s="697" t="s">
        <v>36</v>
      </c>
      <c r="H21" s="515" t="s">
        <v>36</v>
      </c>
      <c r="I21" s="724" t="s">
        <v>36</v>
      </c>
      <c r="J21" s="725" t="s">
        <v>426</v>
      </c>
      <c r="K21" s="697" t="s">
        <v>36</v>
      </c>
      <c r="L21" s="722">
        <f>IF(J21="Single, Clamp Mount",415.2,IF(J21="Double, Clamp Mount",721,IF(J21="Single, Grommet",275.65,IF(J21="Double, Grommet",518.7,IF(J21="None",0)))))</f>
        <v>721</v>
      </c>
      <c r="M21" s="809">
        <f>ROUNDUP(L21*0.3, 0)</f>
        <v>217</v>
      </c>
      <c r="N21" s="699" t="str">
        <f>IF(J21="Single, Clamp Mount","5MOASGARMCLPMTXXXXX",IF(J21="Double, Clamp Mount","5MOADUARMCLPMTXXXXX",IF(J21="Single, Grommet","5MOASGARMGRMMTXXXXX",IF(J21="Double, Grommet","5MOADUARMGRMMTXXXXX",IF(J21="None","N/A",)))))</f>
        <v>5MOADUARMCLPMTXXXXX</v>
      </c>
    </row>
    <row r="22" spans="1:15" s="504" customFormat="1" ht="34.5" customHeight="1" x14ac:dyDescent="0.3">
      <c r="A22" s="516"/>
      <c r="B22" s="517"/>
      <c r="C22" s="716" t="s">
        <v>16</v>
      </c>
      <c r="D22" s="726" t="s">
        <v>198</v>
      </c>
      <c r="E22" s="727">
        <v>5</v>
      </c>
      <c r="F22" s="728">
        <v>1</v>
      </c>
      <c r="G22" s="729" t="s">
        <v>36</v>
      </c>
      <c r="H22" s="730" t="s">
        <v>36</v>
      </c>
      <c r="I22" s="731" t="s">
        <v>36</v>
      </c>
      <c r="J22" s="732" t="s">
        <v>415</v>
      </c>
      <c r="K22" s="729" t="s">
        <v>36</v>
      </c>
      <c r="L22" s="733">
        <f>IF(J22="AC Power ",312.23,IF(J22="AC Power &amp; USB",252.97,IF(J22="None",0)))</f>
        <v>252.97</v>
      </c>
      <c r="M22" s="809">
        <f>ROUNDUP(L22*0.4, 0)</f>
        <v>102</v>
      </c>
      <c r="N22" s="699" t="str">
        <f>IF(J22="AC Power ","5PMOWKSMTACPWRXXXXX",IF(J22="AC Power &amp; USB","5PMOWKSMTACUSBXXXXX",IF(J22="None","N/A",)))</f>
        <v>5PMOWKSMTACUSBXXXXX</v>
      </c>
    </row>
    <row r="23" spans="1:15" s="504" customFormat="1" ht="34.5" customHeight="1" thickBot="1" x14ac:dyDescent="0.35">
      <c r="A23" s="516"/>
      <c r="B23" s="517"/>
      <c r="C23" s="735" t="s">
        <v>17</v>
      </c>
      <c r="D23" s="736" t="s">
        <v>20</v>
      </c>
      <c r="E23" s="737" t="s">
        <v>18</v>
      </c>
      <c r="F23" s="738">
        <v>1</v>
      </c>
      <c r="G23" s="739" t="s">
        <v>36</v>
      </c>
      <c r="H23" s="740" t="s">
        <v>36</v>
      </c>
      <c r="I23" s="741" t="s">
        <v>36</v>
      </c>
      <c r="J23" s="742" t="s">
        <v>353</v>
      </c>
      <c r="K23" s="739" t="s">
        <v>29</v>
      </c>
      <c r="L23" s="743">
        <v>560</v>
      </c>
      <c r="M23" s="806">
        <f t="shared" si="0"/>
        <v>336</v>
      </c>
      <c r="N23" s="692" t="s">
        <v>36</v>
      </c>
    </row>
    <row r="24" spans="1:15" s="496" customFormat="1" ht="18" customHeight="1" thickBot="1" x14ac:dyDescent="0.3">
      <c r="A24" s="498"/>
      <c r="B24" s="495"/>
      <c r="C24" s="744" t="s">
        <v>463</v>
      </c>
      <c r="D24" s="744"/>
      <c r="E24" s="745"/>
      <c r="F24" s="745"/>
      <c r="G24" s="746"/>
      <c r="H24" s="528"/>
      <c r="I24" s="747"/>
      <c r="J24" s="745"/>
      <c r="K24" s="748"/>
      <c r="L24" s="749"/>
      <c r="M24" s="749"/>
      <c r="N24" s="528"/>
    </row>
    <row r="25" spans="1:15" s="504" customFormat="1" ht="34.5" customHeight="1" x14ac:dyDescent="0.3">
      <c r="A25" s="516"/>
      <c r="B25" s="517"/>
      <c r="C25" s="750" t="s">
        <v>46</v>
      </c>
      <c r="D25" s="751" t="s">
        <v>340</v>
      </c>
      <c r="E25" s="752">
        <v>5</v>
      </c>
      <c r="F25" s="753">
        <v>1</v>
      </c>
      <c r="G25" s="754" t="s">
        <v>36</v>
      </c>
      <c r="H25" s="755" t="s">
        <v>36</v>
      </c>
      <c r="I25" s="756" t="s">
        <v>36</v>
      </c>
      <c r="J25" s="823" t="s">
        <v>443</v>
      </c>
      <c r="K25" s="754" t="s">
        <v>36</v>
      </c>
      <c r="L25" s="757">
        <f>IF(J25="Desk Base, AC Power",248.3,IF(J25="Desk Base, USB",445.74,IF(J25="Desk Base, AC and USB Power",273.5,IF(J25="Clamp Base, AC Power",199.28,IF(J25="Clamp Base, USB",240,IF(J25="Clamp Base, AC and USB Power",215.74,IF(J25="None",0)))))))</f>
        <v>248.3</v>
      </c>
      <c r="M25" s="758">
        <f>ROUNDUP(L25*0.6, 0)</f>
        <v>149</v>
      </c>
      <c r="N25" s="529" t="str">
        <f>IF(J25="Desk Base, AC Power","5TLTDSKBAACPWRXXXXX",IF(J25="Desk Base, USB","5TLTDSKBAUSBPWXXXXX",IF(J25="Desk Base, AC and USB Power","5TLTDSKBAACUSBXXXXX",IF(J25="Clamp Base, AC Power","5TLTCLPBAACPWRXXXXX",IF(J25="Clamp Base, USB","5TLTCLPBAUSBPWXXXXX",IF(J25="Clamp Base, AC and USB Power","5TLTCLPBAACUSBXXXXX",IF(J25="None","N/A",)))))))</f>
        <v>5TLTDSKBAACPWRXXXXX</v>
      </c>
    </row>
    <row r="26" spans="1:15" s="504" customFormat="1" ht="34.5" customHeight="1" thickBot="1" x14ac:dyDescent="0.35">
      <c r="A26" s="489"/>
      <c r="B26" s="517"/>
      <c r="C26" s="759" t="s">
        <v>103</v>
      </c>
      <c r="D26" s="760" t="s">
        <v>417</v>
      </c>
      <c r="E26" s="761">
        <f>IF(J26="Undersurface Mounted Storage Cubbie", "NSA", 6)</f>
        <v>6</v>
      </c>
      <c r="F26" s="762">
        <v>1</v>
      </c>
      <c r="G26" s="763" t="str">
        <f>IF(J26="Credenza, Partial Height, Closed Doors (Keyless)","1067 mm (42 in.)",IF(J26="Credenza, Partial Height, Combination (Keyless)","1067 mm (42 in.)",IF(J26="Credenza, Partial Height, Drawers (Keyless)","1067 mm (42 in.)",IF(J26="Credenza, Partial Height, Open Shelving","1067 mm (42 in.)",IF(J26="Pedestal (Medium), Mobile (Keyless)","381 mm (15 in.)",IF(J26="Pedestal (Large), Mobile (Keyless)","381 mm (15 in.)",IF(J26="Undersurface Mounted Storage Cubbie","Min. 179 mm (7 in.)",IF(J26="None","N/A",))))))))</f>
        <v>381 mm (15 in.)</v>
      </c>
      <c r="H26" s="764" t="str">
        <f>IF(J26="Credenza, Partial Height, Closed Doors (Keyless)","508 mm (20 in.)",IF(J26="Credenza, Partial Height, Combination (Keyless)","508 mm (20 in.)",IF(J26="Credenza, Partial Height, Drawers (Keyless)","508 mm (20 in.)",IF(J26="Credenza, Partial Height, Open Shelving","508 mm (20 in.)",IF(J26="Pedestal (Medium), Mobile (Keyless)","457 mm (18 in.)",IF(J26="Pedestal (Large), Mobile (Keyless)","610 mm (24 in.)",IF(J26="Undersurface Mounted Storage Cubbie","Min. 381 mm (15 in.)",IF(J26="None","N/A",))))))))</f>
        <v>457 mm (18 in.)</v>
      </c>
      <c r="I26" s="765" t="str">
        <f>IF(J26="Credenza, Partial Height, Closed Doors (Keyless)","533 to 610 mm (21 to 24 in.)",IF(J26="Credenza, Partial Height, Combination (Keyless)","533 to 610 mm (21 to 24 in.)",IF(J26="Credenza, Partial Height, Drawers (Keyless)","533 to 610 mm (21 to 24 in.)",IF(J26="Credenza, Partial Height, Open Shelving","533 to 610 mm (21 to 24 in.)",IF(J26="Pedestal (Medium), Mobile (Keyless)","Varies",IF(J26="Pedestal (Large), Mobile (Keyless)","Varies",IF(J26="Undersurface Mounted Storage Cubbie","Min. 406 mm (16 in.)",IF(J26="None","N/A",))))))))</f>
        <v>Varies</v>
      </c>
      <c r="J26" s="766" t="s">
        <v>450</v>
      </c>
      <c r="K26" s="767" t="s">
        <v>242</v>
      </c>
      <c r="L26" s="768">
        <f>IF(AND(J26="Pedestal (Medium), Mobile (Keyless)",K26="Painted Metal"),1024.1,IF(AND(J26="Pedestal (Medium), Mobile (Keyless)",K26="Laminate"),1428.98,IF(AND(J26="Pedestal (Large), Mobile (Keyless)",K26="Painted Metal"),1048.1,IF(AND(J26="Pedestal (Large), Mobile (Keyless)",K26="Laminate"),1486,IF(AND(J26="Credenza, Partial Height, Closed Doors (Keyless)",K26="Painted Metal"),3349.19,IF(AND(J26="Credenza, Partial Height, Closed Doors (Keyless)",K26="Laminate"),2301.68,IF(AND(J26="Credenza, Partial Height, Drawers (Keyless)",K26="Painted Metal"),3349.19,IF(AND(J26="Credenza, Partial Height, Drawers (Keyless)",K26="Laminate"),1988.6,))))))))</f>
        <v>1024.0999999999999</v>
      </c>
      <c r="M26" s="769">
        <f>ROUNDUP(L26*0.2, 0)</f>
        <v>205</v>
      </c>
      <c r="N26" s="534" t="str">
        <f>IF(AND(J26="Pedestal (Medium), Mobile (Keyless)",K26="Painted Metal"),"1bSPBMCAA1518XXYSXX",IF(AND(J26="Pedestal (Medium), Mobile (Keyless)",K26="Laminate"),"1bSPBMCAL1518XXYSXX",IF(AND(J26="Pedestal (Large), Mobile (Keyless)",K26="Painted Metal"),"1bSPBMCAA1524XXYSXX",IF(AND(J26="Pedestal (Large), Mobile (Keyless)",K26="Laminate"),"1bSPBMCAL1524XXYSXX",IF(AND(J26="Credenza, Partial Height, Closed Doors (Keyless)",K26="Painted Metal"),"1bCHHAX20L42XDDDDSX",IF(AND(J26="Credenza, Partial Height, Closed Doors (Keyless)",K26="Laminate"),"1bCHHLX20L42XDDDDSX",IF(AND(J26="Credenza, Partial Height, Drawers (Keyless)",K26="Painted Metal"),"1bCHHAX20L42XDDDDSX",IF(AND(J26="Credenza, Partial Height, Drawers (Keyless)",K26="Laminate"),"1bCHHLX20L42XBFBFSX",IF(J26="None","N/A","N/A")))))))))</f>
        <v>1bSPBMCAA1518XXYSXX</v>
      </c>
    </row>
    <row r="27" spans="1:15" s="479" customFormat="1" ht="18" customHeight="1" x14ac:dyDescent="0.3">
      <c r="A27" s="770"/>
      <c r="B27" s="249"/>
      <c r="C27" s="530"/>
      <c r="D27" s="531"/>
      <c r="E27" s="507"/>
      <c r="F27" s="502"/>
      <c r="G27" s="481"/>
      <c r="H27" s="481"/>
      <c r="I27" s="481"/>
      <c r="J27" s="482"/>
      <c r="K27" s="483"/>
      <c r="L27" s="484"/>
      <c r="M27" s="484"/>
      <c r="N27" s="318" t="s">
        <v>385</v>
      </c>
    </row>
    <row r="28" spans="1:15" s="479" customFormat="1" ht="18" customHeight="1" x14ac:dyDescent="0.3">
      <c r="A28" s="453"/>
      <c r="B28" s="249"/>
      <c r="C28" s="530"/>
      <c r="D28" s="531"/>
      <c r="E28" s="507"/>
      <c r="F28" s="502"/>
      <c r="G28" s="481"/>
      <c r="H28" s="481"/>
      <c r="I28" s="481"/>
      <c r="J28" s="482"/>
      <c r="K28" s="483"/>
      <c r="L28" s="484"/>
      <c r="M28" s="484"/>
      <c r="N28" s="318"/>
    </row>
    <row r="29" spans="1:15" s="479" customFormat="1" ht="18" customHeight="1" x14ac:dyDescent="0.3">
      <c r="A29" s="453"/>
      <c r="B29" s="249"/>
      <c r="C29" s="530"/>
      <c r="D29" s="531"/>
      <c r="E29" s="507"/>
      <c r="F29" s="502"/>
      <c r="G29" s="481"/>
      <c r="H29" s="481"/>
      <c r="I29" s="481"/>
      <c r="J29" s="482"/>
      <c r="K29" s="483"/>
      <c r="L29" s="484"/>
      <c r="M29" s="484"/>
      <c r="N29" s="318"/>
    </row>
    <row r="30" spans="1:15" s="479" customFormat="1" ht="18" customHeight="1" x14ac:dyDescent="0.3">
      <c r="A30" s="453"/>
      <c r="B30" s="249"/>
      <c r="C30" s="530"/>
      <c r="D30" s="531"/>
      <c r="E30" s="507"/>
      <c r="F30" s="502"/>
      <c r="G30" s="481"/>
      <c r="H30" s="481"/>
      <c r="I30" s="481"/>
      <c r="J30" s="482"/>
      <c r="K30" s="483"/>
      <c r="L30" s="484"/>
      <c r="M30" s="484"/>
      <c r="N30" s="318"/>
    </row>
    <row r="31" spans="1:15" s="479" customFormat="1" ht="18" customHeight="1" x14ac:dyDescent="0.3">
      <c r="A31" s="453"/>
      <c r="B31" s="249"/>
      <c r="C31" s="530"/>
      <c r="D31" s="531"/>
      <c r="E31" s="507"/>
      <c r="F31" s="502"/>
      <c r="G31" s="481"/>
      <c r="H31" s="481"/>
      <c r="I31" s="481"/>
      <c r="J31" s="482"/>
      <c r="K31" s="483"/>
      <c r="L31" s="484"/>
      <c r="M31" s="484"/>
      <c r="N31" s="318"/>
    </row>
    <row r="32" spans="1:15" s="479" customFormat="1" ht="18" customHeight="1" x14ac:dyDescent="0.3">
      <c r="A32" s="453"/>
      <c r="B32" s="249"/>
      <c r="C32" s="530"/>
      <c r="D32" s="531"/>
      <c r="E32" s="507"/>
      <c r="F32" s="502"/>
      <c r="G32" s="481"/>
      <c r="H32" s="481"/>
      <c r="I32" s="481"/>
      <c r="J32" s="482"/>
      <c r="K32" s="483"/>
      <c r="L32" s="484"/>
      <c r="M32" s="484"/>
      <c r="N32" s="318"/>
    </row>
    <row r="33" spans="1:14" s="479" customFormat="1" ht="18" customHeight="1" x14ac:dyDescent="0.3">
      <c r="A33" s="453"/>
      <c r="B33" s="249"/>
      <c r="C33" s="530"/>
      <c r="D33" s="531"/>
      <c r="E33" s="507"/>
      <c r="F33" s="502"/>
      <c r="G33" s="481"/>
      <c r="H33" s="481"/>
      <c r="I33" s="481"/>
      <c r="J33" s="482"/>
      <c r="K33" s="483"/>
      <c r="L33" s="484"/>
      <c r="M33" s="484"/>
      <c r="N33" s="318"/>
    </row>
    <row r="34" spans="1:14" s="479" customFormat="1" ht="18" customHeight="1" x14ac:dyDescent="0.3">
      <c r="A34" s="453"/>
      <c r="B34" s="249"/>
      <c r="C34" s="530"/>
      <c r="D34" s="531"/>
      <c r="E34" s="507"/>
      <c r="F34" s="502"/>
      <c r="G34" s="481"/>
      <c r="H34" s="481"/>
      <c r="I34" s="481"/>
      <c r="J34" s="482"/>
      <c r="K34" s="483"/>
      <c r="L34" s="484"/>
      <c r="M34" s="484"/>
      <c r="N34" s="318"/>
    </row>
    <row r="35" spans="1:14" s="479" customFormat="1" ht="18" customHeight="1" x14ac:dyDescent="0.3">
      <c r="A35" s="453"/>
      <c r="B35" s="249"/>
      <c r="C35" s="530"/>
      <c r="D35" s="531"/>
      <c r="E35" s="507"/>
      <c r="F35" s="502"/>
      <c r="G35" s="481"/>
      <c r="H35" s="481"/>
      <c r="I35" s="481"/>
      <c r="J35" s="482"/>
      <c r="K35" s="483"/>
      <c r="L35" s="484"/>
      <c r="M35" s="484"/>
      <c r="N35" s="318"/>
    </row>
    <row r="36" spans="1:14" s="479" customFormat="1" ht="18" customHeight="1" x14ac:dyDescent="0.3">
      <c r="A36" s="453"/>
      <c r="B36" s="249"/>
      <c r="C36" s="530"/>
      <c r="D36" s="531"/>
      <c r="E36" s="507"/>
      <c r="F36" s="502"/>
      <c r="G36" s="481"/>
      <c r="H36" s="481"/>
      <c r="I36" s="481"/>
      <c r="J36" s="482"/>
      <c r="K36" s="483"/>
      <c r="L36" s="484"/>
      <c r="M36" s="484"/>
      <c r="N36" s="318"/>
    </row>
    <row r="37" spans="1:14" s="479" customFormat="1" ht="18" customHeight="1" x14ac:dyDescent="0.3">
      <c r="A37" s="453"/>
      <c r="B37" s="249"/>
      <c r="C37" s="530"/>
      <c r="D37" s="531"/>
      <c r="E37" s="507"/>
      <c r="F37" s="502"/>
      <c r="G37" s="481"/>
      <c r="H37" s="481"/>
      <c r="I37" s="481"/>
      <c r="J37" s="482"/>
      <c r="K37" s="483"/>
      <c r="L37" s="484"/>
      <c r="M37" s="484"/>
      <c r="N37" s="318"/>
    </row>
    <row r="38" spans="1:14" s="479" customFormat="1" ht="18" customHeight="1" x14ac:dyDescent="0.3">
      <c r="A38" s="453"/>
      <c r="B38" s="249"/>
      <c r="C38" s="530"/>
      <c r="D38" s="531"/>
      <c r="E38" s="507"/>
      <c r="F38" s="502"/>
      <c r="G38" s="481"/>
      <c r="H38" s="481"/>
      <c r="I38" s="481"/>
      <c r="J38" s="482"/>
      <c r="K38" s="483"/>
      <c r="L38" s="484"/>
      <c r="M38" s="484"/>
      <c r="N38" s="318"/>
    </row>
    <row r="39" spans="1:14" s="479" customFormat="1" ht="18" customHeight="1" x14ac:dyDescent="0.3">
      <c r="A39" s="453"/>
      <c r="B39" s="249"/>
      <c r="C39" s="530"/>
      <c r="D39" s="531"/>
      <c r="E39" s="507"/>
      <c r="F39" s="502"/>
      <c r="G39" s="481"/>
      <c r="H39" s="481"/>
      <c r="I39" s="481"/>
      <c r="J39" s="482"/>
      <c r="K39" s="483"/>
      <c r="L39" s="484"/>
      <c r="M39" s="484"/>
      <c r="N39" s="318"/>
    </row>
    <row r="40" spans="1:14" s="479" customFormat="1" ht="18" customHeight="1" x14ac:dyDescent="0.3">
      <c r="A40" s="453"/>
      <c r="B40" s="249"/>
      <c r="C40" s="530"/>
      <c r="D40" s="531"/>
      <c r="E40" s="507"/>
      <c r="F40" s="502"/>
      <c r="G40" s="481"/>
      <c r="H40" s="481"/>
      <c r="I40" s="481"/>
      <c r="J40" s="482"/>
      <c r="K40" s="483"/>
      <c r="L40" s="484"/>
      <c r="M40" s="484"/>
      <c r="N40" s="318"/>
    </row>
    <row r="41" spans="1:14" s="479" customFormat="1" ht="18" customHeight="1" x14ac:dyDescent="0.3">
      <c r="A41" s="453"/>
      <c r="B41" s="249"/>
      <c r="C41" s="530"/>
      <c r="D41" s="531"/>
      <c r="E41" s="507"/>
      <c r="F41" s="502"/>
      <c r="G41" s="481"/>
      <c r="H41" s="481"/>
      <c r="I41" s="481"/>
      <c r="J41" s="482"/>
      <c r="K41" s="483"/>
      <c r="L41" s="484"/>
      <c r="M41" s="484"/>
      <c r="N41" s="318"/>
    </row>
    <row r="42" spans="1:14" s="479" customFormat="1" ht="18" customHeight="1" x14ac:dyDescent="0.3">
      <c r="A42" s="453"/>
      <c r="B42" s="249"/>
      <c r="C42" s="530"/>
      <c r="D42" s="531"/>
      <c r="E42" s="507"/>
      <c r="F42" s="502"/>
      <c r="G42" s="481"/>
      <c r="H42" s="481"/>
      <c r="I42" s="481"/>
      <c r="J42" s="482"/>
      <c r="K42" s="483"/>
      <c r="L42" s="484"/>
      <c r="M42" s="484"/>
      <c r="N42" s="318"/>
    </row>
    <row r="43" spans="1:14" s="479" customFormat="1" ht="18" customHeight="1" x14ac:dyDescent="0.3">
      <c r="A43" s="453"/>
      <c r="B43" s="249"/>
      <c r="C43" s="530"/>
      <c r="D43" s="531"/>
      <c r="E43" s="507"/>
      <c r="F43" s="502"/>
      <c r="G43" s="481"/>
      <c r="H43" s="481"/>
      <c r="I43" s="481"/>
      <c r="J43" s="482"/>
      <c r="K43" s="483"/>
      <c r="L43" s="484"/>
      <c r="M43" s="484"/>
      <c r="N43" s="318"/>
    </row>
    <row r="44" spans="1:14" s="479" customFormat="1" ht="18" customHeight="1" x14ac:dyDescent="0.3">
      <c r="A44" s="453"/>
      <c r="B44" s="249"/>
      <c r="C44" s="530"/>
      <c r="D44" s="531"/>
      <c r="E44" s="507"/>
      <c r="F44" s="502"/>
      <c r="G44" s="481"/>
      <c r="H44" s="481"/>
      <c r="I44" s="481"/>
      <c r="J44" s="482"/>
      <c r="K44" s="483"/>
      <c r="L44" s="484"/>
      <c r="M44" s="484"/>
      <c r="N44" s="318"/>
    </row>
    <row r="45" spans="1:14" s="479" customFormat="1" ht="18" customHeight="1" x14ac:dyDescent="0.3">
      <c r="A45" s="453"/>
      <c r="B45" s="249"/>
      <c r="C45" s="530"/>
      <c r="D45" s="531"/>
      <c r="E45" s="507"/>
      <c r="F45" s="502"/>
      <c r="G45" s="481"/>
      <c r="H45" s="481"/>
      <c r="I45" s="481"/>
      <c r="J45" s="482"/>
      <c r="K45" s="483"/>
      <c r="L45" s="484"/>
      <c r="M45" s="484"/>
      <c r="N45" s="318"/>
    </row>
    <row r="46" spans="1:14" s="479" customFormat="1" ht="18" customHeight="1" x14ac:dyDescent="0.3">
      <c r="A46" s="453"/>
      <c r="B46" s="249"/>
      <c r="C46" s="530"/>
      <c r="D46" s="531"/>
      <c r="E46" s="507"/>
      <c r="F46" s="502"/>
      <c r="G46" s="481"/>
      <c r="H46" s="481"/>
      <c r="I46" s="481"/>
      <c r="J46" s="482"/>
      <c r="K46" s="483"/>
      <c r="L46" s="484"/>
      <c r="M46" s="484"/>
      <c r="N46" s="318"/>
    </row>
    <row r="47" spans="1:14" s="479" customFormat="1" ht="18" customHeight="1" x14ac:dyDescent="0.3">
      <c r="A47" s="453"/>
      <c r="B47" s="249"/>
      <c r="C47" s="530"/>
      <c r="D47" s="531"/>
      <c r="E47" s="507"/>
      <c r="F47" s="502"/>
      <c r="G47" s="481"/>
      <c r="H47" s="481"/>
      <c r="I47" s="481"/>
      <c r="J47" s="482"/>
      <c r="K47" s="483"/>
      <c r="L47" s="484"/>
      <c r="M47" s="484"/>
      <c r="N47" s="318"/>
    </row>
    <row r="48" spans="1:14" s="479" customFormat="1" ht="18" customHeight="1" x14ac:dyDescent="0.3">
      <c r="A48" s="453"/>
      <c r="B48" s="249"/>
      <c r="C48" s="530"/>
      <c r="D48" s="531"/>
      <c r="E48" s="507"/>
      <c r="F48" s="502"/>
      <c r="G48" s="481"/>
      <c r="H48" s="481"/>
      <c r="I48" s="481"/>
      <c r="J48" s="482"/>
      <c r="K48" s="483"/>
      <c r="L48" s="484"/>
      <c r="M48" s="484"/>
      <c r="N48" s="318"/>
    </row>
    <row r="49" spans="1:14" s="479" customFormat="1" ht="18" customHeight="1" x14ac:dyDescent="0.3">
      <c r="A49" s="453"/>
      <c r="B49" s="249"/>
      <c r="C49" s="530"/>
      <c r="D49" s="531"/>
      <c r="E49" s="507"/>
      <c r="F49" s="502"/>
      <c r="G49" s="481"/>
      <c r="H49" s="481"/>
      <c r="I49" s="481"/>
      <c r="J49" s="482"/>
      <c r="K49" s="483"/>
      <c r="L49" s="484"/>
      <c r="M49" s="484"/>
      <c r="N49" s="318"/>
    </row>
    <row r="50" spans="1:14" s="479" customFormat="1" ht="18" customHeight="1" x14ac:dyDescent="0.3">
      <c r="A50" s="453"/>
      <c r="B50" s="249"/>
      <c r="C50" s="530"/>
      <c r="D50" s="531"/>
      <c r="E50" s="507"/>
      <c r="F50" s="502"/>
      <c r="G50" s="481"/>
      <c r="H50" s="481"/>
      <c r="I50" s="481"/>
      <c r="J50" s="482"/>
      <c r="K50" s="483"/>
      <c r="L50" s="484"/>
      <c r="M50" s="484"/>
      <c r="N50" s="318"/>
    </row>
    <row r="51" spans="1:14" s="479" customFormat="1" ht="18" customHeight="1" x14ac:dyDescent="0.3">
      <c r="A51" s="453"/>
      <c r="B51" s="249"/>
      <c r="C51" s="530"/>
      <c r="D51" s="531"/>
      <c r="E51" s="507"/>
      <c r="F51" s="502"/>
      <c r="G51" s="481"/>
      <c r="H51" s="481"/>
      <c r="I51" s="481"/>
      <c r="J51" s="482"/>
      <c r="K51" s="483"/>
      <c r="L51" s="484"/>
      <c r="M51" s="484"/>
      <c r="N51" s="318"/>
    </row>
    <row r="52" spans="1:14" s="479" customFormat="1" ht="18" customHeight="1" x14ac:dyDescent="0.3">
      <c r="A52" s="453"/>
      <c r="B52" s="249"/>
      <c r="C52" s="530"/>
      <c r="D52" s="531"/>
      <c r="E52" s="507"/>
      <c r="F52" s="502"/>
      <c r="G52" s="481"/>
      <c r="H52" s="481"/>
      <c r="I52" s="481"/>
      <c r="J52" s="482"/>
      <c r="K52" s="483"/>
      <c r="L52" s="484"/>
      <c r="M52" s="484"/>
      <c r="N52" s="318"/>
    </row>
    <row r="53" spans="1:14" s="479" customFormat="1" ht="18" customHeight="1" x14ac:dyDescent="0.3">
      <c r="A53" s="869" t="s">
        <v>0</v>
      </c>
      <c r="B53" s="249"/>
      <c r="C53" s="530"/>
      <c r="D53" s="531"/>
      <c r="E53" s="507"/>
      <c r="F53" s="502"/>
      <c r="G53" s="481"/>
      <c r="H53" s="481"/>
      <c r="I53" s="481"/>
      <c r="J53" s="482"/>
      <c r="K53" s="483"/>
      <c r="L53" s="484"/>
      <c r="M53" s="484"/>
      <c r="N53" s="318"/>
    </row>
    <row r="54" spans="1:14" ht="18" customHeight="1" x14ac:dyDescent="0.3">
      <c r="A54" s="869"/>
      <c r="B54" s="249"/>
      <c r="C54" s="527"/>
      <c r="D54" s="527"/>
    </row>
    <row r="55" spans="1:14" ht="18" customHeight="1" x14ac:dyDescent="0.3">
      <c r="A55" s="869"/>
      <c r="B55" s="249"/>
      <c r="C55" s="527"/>
      <c r="D55" s="527"/>
    </row>
    <row r="56" spans="1:14" ht="18" customHeight="1" thickBot="1" x14ac:dyDescent="0.35">
      <c r="A56" s="870"/>
      <c r="B56" s="249"/>
      <c r="C56" s="527"/>
      <c r="D56" s="527"/>
    </row>
    <row r="57" spans="1:14" ht="35.25" customHeight="1" x14ac:dyDescent="0.45">
      <c r="A57" s="614"/>
      <c r="B57" s="615"/>
      <c r="C57" s="616"/>
      <c r="D57" s="616"/>
      <c r="E57" s="617"/>
      <c r="F57" s="617"/>
      <c r="G57" s="618"/>
      <c r="H57" s="618"/>
      <c r="I57" s="618"/>
      <c r="J57" s="618"/>
      <c r="K57" s="619"/>
      <c r="L57" s="619"/>
      <c r="M57" s="619"/>
      <c r="N57" s="619"/>
    </row>
    <row r="58" spans="1:14" s="535" customFormat="1" ht="32.4" customHeight="1" x14ac:dyDescent="0.75">
      <c r="A58" s="864" t="s">
        <v>332</v>
      </c>
      <c r="B58" s="538"/>
      <c r="C58" s="250" t="s">
        <v>469</v>
      </c>
      <c r="D58" s="538"/>
      <c r="E58" s="536"/>
      <c r="F58" s="536"/>
      <c r="G58" s="537"/>
      <c r="H58" s="537"/>
      <c r="I58" s="537"/>
      <c r="J58" s="537"/>
      <c r="N58" s="328" t="s">
        <v>34</v>
      </c>
    </row>
    <row r="59" spans="1:14" ht="25.8" customHeight="1" x14ac:dyDescent="0.5">
      <c r="A59" s="865"/>
      <c r="B59" s="249"/>
      <c r="C59" s="251" t="s">
        <v>470</v>
      </c>
      <c r="D59" s="527"/>
    </row>
    <row r="60" spans="1:14" ht="25.8" customHeight="1" x14ac:dyDescent="0.5">
      <c r="A60" s="865"/>
      <c r="B60" s="249"/>
      <c r="C60" s="522" t="str">
        <f>"COST (EST.): "&amp;TEXT(SUM(M67:M74),"$0,000.00")</f>
        <v>COST (EST.): $1,756.00</v>
      </c>
      <c r="D60" s="527"/>
    </row>
    <row r="61" spans="1:14" ht="72" customHeight="1" x14ac:dyDescent="0.3">
      <c r="A61" s="865"/>
      <c r="B61" s="249"/>
      <c r="C61" s="527"/>
      <c r="D61" s="527"/>
    </row>
    <row r="62" spans="1:14" ht="72" customHeight="1" x14ac:dyDescent="0.3">
      <c r="A62" s="865"/>
      <c r="B62" s="249"/>
      <c r="C62" s="527"/>
      <c r="D62" s="527"/>
    </row>
    <row r="63" spans="1:14" ht="72" customHeight="1" x14ac:dyDescent="0.3">
      <c r="A63" s="865"/>
      <c r="B63" s="249"/>
      <c r="C63" s="527"/>
      <c r="D63" s="527"/>
    </row>
    <row r="64" spans="1:14" ht="72" customHeight="1" thickBot="1" x14ac:dyDescent="0.35">
      <c r="A64" s="865"/>
      <c r="B64" s="249"/>
      <c r="C64" s="527"/>
      <c r="D64" s="527"/>
    </row>
    <row r="65" spans="1:15" s="539" customFormat="1" ht="18" customHeight="1" thickBot="1" x14ac:dyDescent="0.35">
      <c r="A65" s="545"/>
      <c r="B65" s="544"/>
      <c r="C65" s="541" t="s">
        <v>1</v>
      </c>
      <c r="D65" s="542"/>
      <c r="E65" s="549" t="s">
        <v>2</v>
      </c>
      <c r="F65" s="549" t="s">
        <v>3</v>
      </c>
      <c r="G65" s="542" t="s">
        <v>4</v>
      </c>
      <c r="H65" s="542" t="s">
        <v>5</v>
      </c>
      <c r="I65" s="542" t="s">
        <v>6</v>
      </c>
      <c r="J65" s="551" t="s">
        <v>7</v>
      </c>
      <c r="K65" s="551" t="s">
        <v>8</v>
      </c>
      <c r="L65" s="551" t="s">
        <v>283</v>
      </c>
      <c r="M65" s="551" t="s">
        <v>352</v>
      </c>
      <c r="N65" s="542" t="s">
        <v>10</v>
      </c>
      <c r="O65" s="540"/>
    </row>
    <row r="66" spans="1:15" s="539" customFormat="1" ht="18" customHeight="1" thickBot="1" x14ac:dyDescent="0.35">
      <c r="A66" s="545"/>
      <c r="B66" s="544"/>
      <c r="C66" s="543" t="s">
        <v>420</v>
      </c>
      <c r="D66" s="543"/>
      <c r="E66" s="550"/>
      <c r="F66" s="550"/>
      <c r="G66" s="543"/>
      <c r="H66" s="543"/>
      <c r="I66" s="543"/>
      <c r="J66" s="550"/>
      <c r="K66" s="550"/>
      <c r="L66" s="550"/>
      <c r="M66" s="550"/>
      <c r="N66" s="543"/>
      <c r="O66" s="540"/>
    </row>
    <row r="67" spans="1:15" s="553" customFormat="1" ht="34.5" customHeight="1" x14ac:dyDescent="0.3">
      <c r="A67" s="556"/>
      <c r="B67" s="557"/>
      <c r="C67" s="552">
        <v>1</v>
      </c>
      <c r="D67" s="558" t="s">
        <v>468</v>
      </c>
      <c r="E67" s="559" t="str">
        <f>IF(OR(G67="1219 mm (48 in.)",G67="1372 mm (54 in.)"), "1B","NSA")</f>
        <v>NSA</v>
      </c>
      <c r="F67" s="559">
        <v>1</v>
      </c>
      <c r="G67" s="584" t="str">
        <f>G68</f>
        <v>1524 mm (60 in.)</v>
      </c>
      <c r="H67" s="585" t="s">
        <v>36</v>
      </c>
      <c r="I67" s="620" t="s">
        <v>478</v>
      </c>
      <c r="J67" s="592" t="s">
        <v>36</v>
      </c>
      <c r="K67" s="603" t="s">
        <v>29</v>
      </c>
      <c r="L67" s="564">
        <f>IF(AND(K67="Fabric",G67="1219 mm (48 in.)"),351.83,IF(AND(K67="Fabric",G67="1372 mm (54 in.)"),357.83,IF(AND(K67="Fabric",G67="1524 mm (60 in.)"),363.83,IF(AND(K67="Fabric",G67="1676 mm (66 in.)"),369.83,IF(AND(K67="Fabric",G67="1829 mm (72 in.)"),375.83)))))</f>
        <v>363.83</v>
      </c>
      <c r="M67" s="565">
        <f>ROUNDUP(L67*0.6, 0)</f>
        <v>219</v>
      </c>
      <c r="N67" s="575" t="str">
        <f>IF(AND(K67="Fabric",G67="1219 mm (48 in.)"),"1bCPSXXSXXL48XFANNN",IF(AND(K67="Fabric",G67="1372 mm (54 in.)"),"1bCPSXXSXXL54XFANNN", "N/A"))</f>
        <v>N/A</v>
      </c>
      <c r="O67" s="560"/>
    </row>
    <row r="68" spans="1:15" s="553" customFormat="1" ht="34.5" customHeight="1" x14ac:dyDescent="0.3">
      <c r="A68" s="556"/>
      <c r="B68" s="557"/>
      <c r="C68" s="461" t="s">
        <v>13</v>
      </c>
      <c r="D68" s="777" t="s">
        <v>196</v>
      </c>
      <c r="E68" s="463">
        <v>2</v>
      </c>
      <c r="F68" s="463">
        <v>1</v>
      </c>
      <c r="G68" s="597" t="s">
        <v>199</v>
      </c>
      <c r="H68" s="519" t="s">
        <v>56</v>
      </c>
      <c r="I68" s="518" t="s">
        <v>211</v>
      </c>
      <c r="J68" s="600" t="s">
        <v>413</v>
      </c>
      <c r="K68" s="593" t="s">
        <v>30</v>
      </c>
      <c r="L68" s="566">
        <f>IF(AND(J68="Electric",G68="1219 mm (48 in.)"),2013.82,IF(AND(J68="Electric",G68="1372 mm (54 in.)"),2074.44,IF(AND(J68="Electric",G68="1524 mm (60 in.)"),2150.65,IF(AND(J68="Electric",G68="1676 mm (66 in.)"),2206.97,IF(AND(J68="Electric",G68="1829 mm (72 in.)"),2273.7,IF(AND(J68="Crank",G68="1219 mm (48 in.)"),1862.25,IF(AND(J68="Crank",G68="1372 mm (54 in.)"),1896.49,IF(AND(J68="Crank",G68="1524 mm (60 in.)"),1899.47,IF(AND(J68="Crank",G68="1676 mm (66 in.)"),1917.9,IF(AND(J68="Crank",G68="1829 mm (72 in.)"),1932.66,IF(AND(J68="Pneumatic",G68="1219 mm (48 in.)"),1830,IF(AND(J68="Pneumatic",G68="1372 mm (54 in.)"),2081.28,IF(AND(J68="Pneumatic",G68="1524 mm (60 in.)"),1908.14,IF(AND(J68="Pneumatic",G68="1676 mm (66 in.)"),2146.59,IF(AND(J68="Pneumatic",G68="1829 mm (72 in.)"),1977.89,)))))))))))))))</f>
        <v>2150.65</v>
      </c>
      <c r="M68" s="464">
        <f>ROUNDUP(L68*0.2, 0)</f>
        <v>431</v>
      </c>
      <c r="N68" s="576" t="str">
        <f>IF(AND(J68="Electric",G68="1219 mm (48 in.)"),"2WSSREXXL30L48BELXX",IF(AND(J68="Electric",G68="1372 mm (54 in.)"),"2WSSREXXL30L54BELXX",IF(AND(J68="Electric",G68="1524 mm (60 in.)"),"2WSSREXXL30L60BELXX",IF(AND(J68="Electric",G68="1676 mm (66 in.)"),"2WSSREXXL30L66BELXX",IF(AND(J68="Electric",G68="1829 mm (72 in.)"),"2WSSREXXL30L72BELXX",IF(AND(J68="Crank",G68="1219 mm (48 in.)"),"2WSSREXXL30L48BCKXX",IF(AND(J68="Crank",G68="1372 mm (54 in.)"),"2WSSREXXL30L54BCKXX",IF(AND(J68="Crank",G68="1524 mm (60 in.)"),"2WSSREXXL30L60BCKXX",IF(AND(J68="Crank",G68="1676 mm (66 in.)"),"2WSSREXXW30L66BCKXX",IF(AND(J68="Crank",G68="1829 mm (72 in.)"),"2WSSREXXL30L72BCKXX",IF(AND(J68="Pneumatic",G68="1219 mm (48 in.)"),"2WSSREXXL30L48BCBXX",IF(AND(J68="Pneumatic",G68="1372 mm (54 in.)"),"2WSSREXXL30L54BCBXX",IF(AND(J68="Pneumatic",G68="1524 mm (60 in.)"),"2WSSREXXL30L60BCBXX",IF(AND(J68="Pneumatic",G68="1676 mm (66 in.)"),"2WSSREXXL30L66BCBXX",IF(AND(J68="Pneumatic",G68="1829 mm (72 in.)"),"2WSSREXXL30L72BCBXX")))))))))))))))</f>
        <v>2WSSREXXL30L60BELXX</v>
      </c>
      <c r="O68" s="554"/>
    </row>
    <row r="69" spans="1:15" s="553" customFormat="1" ht="34.5" customHeight="1" x14ac:dyDescent="0.3">
      <c r="A69" s="556"/>
      <c r="B69" s="557"/>
      <c r="C69" s="461" t="s">
        <v>14</v>
      </c>
      <c r="D69" s="561" t="s">
        <v>197</v>
      </c>
      <c r="E69" s="462">
        <v>5</v>
      </c>
      <c r="F69" s="463">
        <v>1</v>
      </c>
      <c r="G69" s="586" t="s">
        <v>36</v>
      </c>
      <c r="H69" s="586" t="s">
        <v>36</v>
      </c>
      <c r="I69" s="586" t="s">
        <v>36</v>
      </c>
      <c r="J69" s="601" t="s">
        <v>426</v>
      </c>
      <c r="K69" s="594" t="s">
        <v>36</v>
      </c>
      <c r="L69" s="566">
        <f>IF(J69="Single, Clamp Mount",415.2,IF(J69="Double, Clamp Mount",721,IF(J69="Single, Grommet",275.65,IF(J69="Double, Grommet",518.7,IF(J69="None",0)))))</f>
        <v>721</v>
      </c>
      <c r="M69" s="464">
        <f>ROUNDUP(L69*0.3, 0)</f>
        <v>217</v>
      </c>
      <c r="N69" s="577" t="str">
        <f>IF(J69="Single, Clamp Mount","5MOASGARMCLPMTXXXXX",IF(J69="Double, Clamp Mount","5MOADUARMCLPMTXXXXX",IF(J69="Single, Grommet","5MOASGARMGRMMTXXXXX",IF(J69="Double, Grommet","5MOADUARMGRMMTXXXXX",IF(J69="None","N/A",)))))</f>
        <v>5MOADUARMCLPMTXXXXX</v>
      </c>
      <c r="O69" s="88"/>
    </row>
    <row r="70" spans="1:15" s="553" customFormat="1" ht="34.5" customHeight="1" x14ac:dyDescent="0.3">
      <c r="A70" s="556"/>
      <c r="B70" s="557"/>
      <c r="C70" s="691" t="s">
        <v>15</v>
      </c>
      <c r="D70" s="562" t="s">
        <v>198</v>
      </c>
      <c r="E70" s="596">
        <v>5</v>
      </c>
      <c r="F70" s="563">
        <v>1</v>
      </c>
      <c r="G70" s="587" t="s">
        <v>36</v>
      </c>
      <c r="H70" s="587" t="s">
        <v>36</v>
      </c>
      <c r="I70" s="587" t="s">
        <v>36</v>
      </c>
      <c r="J70" s="602" t="s">
        <v>415</v>
      </c>
      <c r="K70" s="595" t="s">
        <v>36</v>
      </c>
      <c r="L70" s="567">
        <f>IF(J70="AC Power ",312.23,IF(J70="AC Power &amp; USB",252.97,IF(J70="None",0)))</f>
        <v>252.97</v>
      </c>
      <c r="M70" s="568">
        <f>ROUNDUP(L70*0.4, 0)</f>
        <v>102</v>
      </c>
      <c r="N70" s="578" t="str">
        <f>IF(J70="AC Power ","5PMOWKSMTACPWRXXXXX",IF(J70="AC Power &amp; USB","5PMOWKSMTACUSBXXXXX",IF(J70="None","N/A",)))</f>
        <v>5PMOWKSMTACUSBXXXXX</v>
      </c>
      <c r="O70" s="88"/>
    </row>
    <row r="71" spans="1:15" s="504" customFormat="1" ht="34.5" customHeight="1" thickBot="1" x14ac:dyDescent="0.35">
      <c r="A71" s="516"/>
      <c r="B71" s="517"/>
      <c r="C71" s="775" t="s">
        <v>16</v>
      </c>
      <c r="D71" s="736" t="s">
        <v>20</v>
      </c>
      <c r="E71" s="737" t="s">
        <v>18</v>
      </c>
      <c r="F71" s="738">
        <v>1</v>
      </c>
      <c r="G71" s="739" t="s">
        <v>36</v>
      </c>
      <c r="H71" s="740" t="s">
        <v>36</v>
      </c>
      <c r="I71" s="741" t="s">
        <v>36</v>
      </c>
      <c r="J71" s="742" t="s">
        <v>353</v>
      </c>
      <c r="K71" s="739" t="s">
        <v>29</v>
      </c>
      <c r="L71" s="743">
        <v>560</v>
      </c>
      <c r="M71" s="734">
        <f>ROUNDUP(L71*0.6, 0)</f>
        <v>336</v>
      </c>
      <c r="N71" s="692" t="s">
        <v>36</v>
      </c>
    </row>
    <row r="72" spans="1:15" s="539" customFormat="1" ht="18" customHeight="1" thickBot="1" x14ac:dyDescent="0.35">
      <c r="A72" s="545"/>
      <c r="B72" s="544"/>
      <c r="C72" s="543" t="s">
        <v>463</v>
      </c>
      <c r="D72" s="543"/>
      <c r="E72" s="470"/>
      <c r="F72" s="550"/>
      <c r="G72" s="469"/>
      <c r="H72" s="469"/>
      <c r="I72" s="469"/>
      <c r="J72" s="471"/>
      <c r="K72" s="471"/>
      <c r="L72" s="569"/>
      <c r="M72" s="569"/>
      <c r="N72" s="469"/>
      <c r="O72" s="548"/>
    </row>
    <row r="73" spans="1:15" s="553" customFormat="1" ht="34.5" customHeight="1" x14ac:dyDescent="0.3">
      <c r="A73" s="556"/>
      <c r="B73" s="557"/>
      <c r="C73" s="552" t="s">
        <v>17</v>
      </c>
      <c r="D73" s="570" t="s">
        <v>340</v>
      </c>
      <c r="E73" s="583">
        <v>5</v>
      </c>
      <c r="F73" s="598">
        <v>1</v>
      </c>
      <c r="G73" s="588" t="s">
        <v>36</v>
      </c>
      <c r="H73" s="585" t="s">
        <v>36</v>
      </c>
      <c r="I73" s="589" t="s">
        <v>36</v>
      </c>
      <c r="J73" s="603" t="s">
        <v>445</v>
      </c>
      <c r="K73" s="592" t="s">
        <v>36</v>
      </c>
      <c r="L73" s="564">
        <f>IF(J73="Desk Base, AC Power",248.3,IF(J73="Desk Base, USB",445.74,IF(J73="Desk Base, AC and USB Power",273.5,IF(J73="Clamp Base, AC Power",199.28,IF(J73="Clamp Base, USB",240,IF(J73="Clamp Base, AC and USB Power",215.74,IF(J73="None",0)))))))</f>
        <v>273.5</v>
      </c>
      <c r="M73" s="565">
        <f>ROUNDUP(L73*0.6, 0)</f>
        <v>165</v>
      </c>
      <c r="N73" s="579" t="str">
        <f>IF(J73="Desk Base, AC Power","5TLTDSKBAACPWRXXXXX",IF(J73="Desk Base, USB","5TLTDSKBAUSBPWXXXXX",IF(J73="Desk Base, AC and USB Power","5TLTDSKBAACUSBXXXXX",IF(J73="Clamp Base, AC Power","5TLTCLPBAACPWRXXXXX",IF(J73="Clamp Base, USB","5TLTCLPBAUSBPWXXXXX",IF(J73="Clamp Base, AC and USB Power","5TLTCLPBAACUSBXXXXX",IF(J73="None","N/A",)))))))</f>
        <v>5TLTDSKBAACUSBXXXXX</v>
      </c>
      <c r="O73" s="555"/>
    </row>
    <row r="74" spans="1:15" s="553" customFormat="1" ht="34.5" customHeight="1" thickBot="1" x14ac:dyDescent="0.35">
      <c r="A74" s="556"/>
      <c r="B74" s="557"/>
      <c r="C74" s="572" t="s">
        <v>46</v>
      </c>
      <c r="D74" s="574" t="s">
        <v>417</v>
      </c>
      <c r="E74" s="761">
        <f>IF(J74="Undersurface Mounted Storage Cubbie", "NSA", 6)</f>
        <v>6</v>
      </c>
      <c r="F74" s="599">
        <v>1</v>
      </c>
      <c r="G74" s="590">
        <f>IF(J74="Credenza, Partial Height, Closed Doors (Keyless)",42,IF(J74="Credenza, Partial Height, Combination (Keyless)",42,IF(J74="Credenza, Partial Height, Drawers (Keyless)",42,IF(J74="Credenza, Partial Height, Open Shelving",42,IF(J74="Pedestal (Medium), Mobile (Keyless)",15,IF(J74="Pedestal (Large), Mobile (Keyless)",15,IF(J74="Undersurface Mounted Storage Cubbie","min 7",IF(J74="None","N/A",))))))))</f>
        <v>15</v>
      </c>
      <c r="H74" s="580">
        <f>IF(J74="Credenza, Partial Height, Closed Doors (Keyless)",20,IF(J74="Credenza, Partial Height, Combination (Keyless)",20,IF(J74="Credenza, Partial Height, Drawers (Keyless)",20,IF(J74="Credenza, Partial Height, Open Shelving",20,IF(J74="Pedestal (Medium), Mobile (Keyless)",18,IF(J74="Pedestal (Large), Mobile (Keyless)",24,IF(J74="Undersurface Mounted Storage Cubbie","min 15",IF(J74="None","N/A",))))))))</f>
        <v>18</v>
      </c>
      <c r="I74" s="591" t="str">
        <f>IF(J74="Credenza, Partial Height, Closed Doors (Keyless)","21 to 24",IF(J74="Credenza, Partial Height, Combination (Keyless)","21 to 24",IF(J74="Credenza, Partial Height, Drawers (Keyless)","21 to 24",IF(J74="Credenza, Partial Height, Open Shelving","21 to 24",IF(J74="Pedestal (Medium), Mobile (Keyless)","Varies",IF(J74="Pedestal (Large), Mobile (Keyless)","Varies",IF(J74="Undersurface Mounted Storage Cubbie","min 16",IF(J74="None","N/A",))))))))</f>
        <v>Varies</v>
      </c>
      <c r="J74" s="604" t="s">
        <v>450</v>
      </c>
      <c r="K74" s="605" t="s">
        <v>30</v>
      </c>
      <c r="L74" s="571">
        <f>IF(AND(J74="Pedestal (Medium), Mobile (Keyless)",K74="Painted Metal"),1024.1,IF(AND(J74="Pedestal (Medium), Mobile (Keyless)",K74="Laminate"),1428.98,IF(AND(J74="Pedestal (Large), Mobile (Keyless)",K74="Painted Metal"),1048.1,IF(AND(J74="Pedestal (Large), Mobile (Keyless)",K74="Laminate"),1486,IF(AND(J74="Credenza, Partial Height, Closed Doors (Keyless)",K74="Painted Metal"),3349.19,IF(AND(J74="Credenza, Partial Height, Closed Doors (Keyless)",K74="Laminate"),2301.68,IF(AND(J74="Credenza, Partial Height, Drawers (Keyless)",K74="Painted Metal"),3349.19,IF(AND(J74="Credenza, Partial Height, Drawers (Keyless)",K74="Laminate"),1988.6,))))))))</f>
        <v>1428.98</v>
      </c>
      <c r="M74" s="466">
        <f>ROUNDUP(L74*0.2, 0)</f>
        <v>286</v>
      </c>
      <c r="N74" s="580" t="str">
        <f>IF(AND(J74="Pedestal (Medium), Mobile (Keyless)",K74="Painted Metal"),"1bSPBMCAA1518XXYSXX",IF(AND(J74="Pedestal (Medium), Mobile (Keyless)",K74="Laminate"),"1bSPBMCAL1518XXYSXX",IF(AND(J74="Pedestal (Large), Mobile (Keyless)",K74="Painted Metal"),"1bSPBMCAA1524XXYSXX",IF(AND(J74="Pedestal (Large), Mobile (Keyless)",K74="Laminate"),"1bSPBMCAL1524XXYSXX",IF(AND(J74="Credenza, Partial Height, Closed Doors (Keyless)",K74="Painted Metal"),"1bCHHAX20L42XDDDDSX",IF(AND(J74="Credenza, Partial Height, Closed Doors (Keyless)",K74="Laminate"),"1bCHHLX20L42XDDDDSX",IF(AND(J74="Credenza, Partial Height, Drawers (Keyless)",K74="Painted Metal"),"1bCHHAX20L42XDDDDSX",IF(AND(J74="Credenza, Partial Height, Drawers (Keyless)",K74="Laminate"),"1bCHHLX20L42XBFBFSX",IF(J74="None","N/A",)))))))))</f>
        <v>1bSPBMCAL1518XXYSXX</v>
      </c>
      <c r="O74" s="555"/>
    </row>
    <row r="75" spans="1:15" ht="18" customHeight="1" x14ac:dyDescent="0.3">
      <c r="A75" s="855" t="s">
        <v>32</v>
      </c>
      <c r="B75" s="249"/>
      <c r="C75" s="581"/>
      <c r="D75" s="582"/>
      <c r="E75" s="456"/>
      <c r="F75" s="458"/>
      <c r="G75" s="457"/>
      <c r="H75" s="457"/>
      <c r="I75" s="457"/>
      <c r="J75" s="455"/>
      <c r="K75" s="459"/>
      <c r="L75" s="460"/>
      <c r="M75" s="460"/>
      <c r="N75" s="318" t="s">
        <v>385</v>
      </c>
      <c r="O75" s="454"/>
    </row>
    <row r="76" spans="1:15" ht="18" customHeight="1" x14ac:dyDescent="0.3">
      <c r="A76" s="855"/>
      <c r="B76" s="249"/>
      <c r="C76" s="527"/>
      <c r="D76" s="527"/>
    </row>
    <row r="77" spans="1:15" ht="18" customHeight="1" x14ac:dyDescent="0.3">
      <c r="A77" s="855"/>
      <c r="B77" s="249"/>
      <c r="C77" s="527"/>
      <c r="D77" s="527"/>
    </row>
    <row r="78" spans="1:15" ht="18" customHeight="1" thickBot="1" x14ac:dyDescent="0.35">
      <c r="A78" s="855"/>
      <c r="B78" s="249"/>
      <c r="C78" s="527"/>
      <c r="D78" s="527"/>
    </row>
    <row r="79" spans="1:15" ht="35.25" customHeight="1" x14ac:dyDescent="0.45">
      <c r="A79" s="614"/>
      <c r="B79" s="615"/>
      <c r="C79" s="616"/>
      <c r="D79" s="616"/>
      <c r="E79" s="617"/>
      <c r="F79" s="617"/>
      <c r="G79" s="618"/>
      <c r="H79" s="618"/>
      <c r="I79" s="618"/>
      <c r="J79" s="618"/>
      <c r="K79" s="619"/>
      <c r="L79" s="619"/>
      <c r="M79" s="619"/>
      <c r="N79" s="619"/>
    </row>
    <row r="80" spans="1:15" ht="32.4" customHeight="1" x14ac:dyDescent="0.3">
      <c r="A80" s="864" t="s">
        <v>332</v>
      </c>
      <c r="B80" s="249"/>
      <c r="C80" s="250" t="s">
        <v>473</v>
      </c>
      <c r="D80" s="527"/>
      <c r="N80" s="328" t="s">
        <v>34</v>
      </c>
    </row>
    <row r="81" spans="1:15" ht="25.8" customHeight="1" x14ac:dyDescent="0.5">
      <c r="A81" s="865"/>
      <c r="B81" s="249"/>
      <c r="C81" s="251" t="s">
        <v>472</v>
      </c>
      <c r="D81" s="527"/>
    </row>
    <row r="82" spans="1:15" ht="25.8" customHeight="1" x14ac:dyDescent="0.5">
      <c r="A82" s="865"/>
      <c r="B82" s="249"/>
      <c r="C82" s="522" t="str">
        <f>"COST (EST.): "&amp;TEXT(SUM(M89:M99),"$0,000.00")</f>
        <v>COST (EST.): $5,676.00</v>
      </c>
      <c r="D82" s="527"/>
    </row>
    <row r="83" spans="1:15" ht="72" customHeight="1" x14ac:dyDescent="0.3">
      <c r="A83" s="865"/>
      <c r="B83" s="249"/>
      <c r="C83" s="527"/>
      <c r="D83" s="527"/>
    </row>
    <row r="84" spans="1:15" ht="72" customHeight="1" x14ac:dyDescent="0.3">
      <c r="A84" s="865"/>
      <c r="B84" s="249"/>
      <c r="C84" s="527"/>
      <c r="D84" s="527"/>
    </row>
    <row r="85" spans="1:15" ht="72" customHeight="1" x14ac:dyDescent="0.3">
      <c r="A85" s="865"/>
      <c r="B85" s="249"/>
      <c r="C85" s="527"/>
      <c r="D85" s="527"/>
    </row>
    <row r="86" spans="1:15" ht="72" customHeight="1" thickBot="1" x14ac:dyDescent="0.35">
      <c r="A86" s="865"/>
      <c r="B86" s="249"/>
      <c r="C86" s="527"/>
      <c r="D86" s="527"/>
    </row>
    <row r="87" spans="1:15" s="4" customFormat="1" ht="18" customHeight="1" thickBot="1" x14ac:dyDescent="0.35">
      <c r="A87" s="247"/>
      <c r="B87" s="252"/>
      <c r="C87" s="541" t="s">
        <v>1</v>
      </c>
      <c r="D87" s="608"/>
      <c r="E87" s="549" t="s">
        <v>2</v>
      </c>
      <c r="F87" s="549" t="s">
        <v>3</v>
      </c>
      <c r="G87" s="542" t="s">
        <v>4</v>
      </c>
      <c r="H87" s="542" t="s">
        <v>5</v>
      </c>
      <c r="I87" s="542" t="s">
        <v>6</v>
      </c>
      <c r="J87" s="551" t="s">
        <v>7</v>
      </c>
      <c r="K87" s="551" t="s">
        <v>8</v>
      </c>
      <c r="L87" s="551" t="s">
        <v>283</v>
      </c>
      <c r="M87" s="551" t="s">
        <v>352</v>
      </c>
      <c r="N87" s="542" t="s">
        <v>10</v>
      </c>
    </row>
    <row r="88" spans="1:15" s="472" customFormat="1" ht="18" customHeight="1" thickBot="1" x14ac:dyDescent="0.35">
      <c r="A88" s="467"/>
      <c r="B88" s="468"/>
      <c r="C88" s="543" t="s">
        <v>420</v>
      </c>
      <c r="D88" s="543"/>
      <c r="E88" s="550"/>
      <c r="F88" s="550"/>
      <c r="G88" s="543"/>
      <c r="H88" s="543"/>
      <c r="I88" s="543"/>
      <c r="J88" s="550"/>
      <c r="K88" s="550"/>
      <c r="L88" s="550"/>
      <c r="M88" s="550"/>
      <c r="N88" s="543"/>
    </row>
    <row r="89" spans="1:15" s="553" customFormat="1" ht="18" customHeight="1" x14ac:dyDescent="0.3">
      <c r="A89" s="556"/>
      <c r="B89" s="557"/>
      <c r="C89" s="859">
        <v>1</v>
      </c>
      <c r="D89" s="640" t="s">
        <v>406</v>
      </c>
      <c r="E89" s="641" t="s">
        <v>466</v>
      </c>
      <c r="F89" s="641">
        <v>1</v>
      </c>
      <c r="G89" s="863" t="str">
        <f>G93</f>
        <v>1524 mm (60 in.)</v>
      </c>
      <c r="H89" s="861" t="s">
        <v>465</v>
      </c>
      <c r="I89" s="860" t="s">
        <v>464</v>
      </c>
      <c r="J89" s="858" t="s">
        <v>423</v>
      </c>
      <c r="K89" s="635" t="s">
        <v>29</v>
      </c>
      <c r="L89" s="636">
        <f>IF(AND(J89="Non-powered",K89="Fabric",G89="1219 mm (48 in.)"),1230.82,IF(AND(J89="Power Below Worksurface",K89="Fabric",G89="1219 mm (48 in.)"),1429.18,IF(AND(J89="Power Above Worksurface",K89="Fabric",G89="1219 mm (48 in.)"),1039.75,IF(AND(J89="Non-powered",K89="Fabric",G89="1372 mm (54 in.)"),1318.1,IF(AND(J89="Power Below Worksurface",K89="Fabric",G89="1372 mm (54 in.)"),1516.46,IF(AND(J89="Power Above Worksurface",K89="Fabric",G89="1372 mm (54 in.)"),1105.95,IF(AND(J89="Non-powered",K89="Fabric",G89="1524 mm (60 in.)"),1405.37,IF(AND(J89="Power Below Worksurface",K89="Fabric",G89="1524 mm (60 in.)"),1603.73,IF(AND(J89="Power Above Worksurface",K89="Fabric",G89="1524 mm (60 in.)"),1172.14,)))))))))</f>
        <v>1603.73</v>
      </c>
      <c r="M89" s="637">
        <f t="shared" ref="M89:M96" si="1">ROUNDUP(L89*0.6, 0)</f>
        <v>963</v>
      </c>
      <c r="N89" s="638" t="s">
        <v>36</v>
      </c>
    </row>
    <row r="90" spans="1:15" s="553" customFormat="1" ht="18" customHeight="1" x14ac:dyDescent="0.3">
      <c r="A90" s="556"/>
      <c r="B90" s="557"/>
      <c r="C90" s="851"/>
      <c r="D90" s="642" t="s">
        <v>408</v>
      </c>
      <c r="E90" s="647" t="s">
        <v>466</v>
      </c>
      <c r="F90" s="643">
        <v>1</v>
      </c>
      <c r="G90" s="862"/>
      <c r="H90" s="857"/>
      <c r="I90" s="852"/>
      <c r="J90" s="853"/>
      <c r="K90" s="631" t="s">
        <v>29</v>
      </c>
      <c r="L90" s="632">
        <f>IF(AND(J89="Non-powered",K90="Fabric",G89="1219 mm (48 in.)"),742.83,IF(AND(J89="Power Below Worksurface",K90="Fabric",G89="1219 mm (48 in.)"),941.19,IF(AND(J89="Power Above Worksurface",K90="Fabric",G89="1219 mm (48 in.)"),551.76,IF(AND(J89="Non-powered",K90="Fabric",G89="1372 mm (54 in.)"),797.48,IF(AND(J89="Power Below Worksurface",K90="Fabric",G89="1372 mm (54 in.)"),995.84,IF(AND(J89="Power Above Worksurface",K90="Fabric",G89="1372 mm (54 in.)"),585.33,IF(AND(J89="Non-powered",K90="Fabric"),852.13,IF(AND(J89="Power Below Worksurface",K90="Fabric"),1050.49,IF(AND(J89="Power Above Worksurface",K90="Fabric"),618.9,)))))))))</f>
        <v>1050.49</v>
      </c>
      <c r="M90" s="633">
        <f t="shared" si="1"/>
        <v>631</v>
      </c>
      <c r="N90" s="639" t="s">
        <v>36</v>
      </c>
      <c r="O90" s="609"/>
    </row>
    <row r="91" spans="1:15" s="553" customFormat="1" ht="18" customHeight="1" x14ac:dyDescent="0.3">
      <c r="A91" s="556"/>
      <c r="B91" s="557"/>
      <c r="C91" s="851">
        <v>2</v>
      </c>
      <c r="D91" s="644" t="s">
        <v>406</v>
      </c>
      <c r="E91" s="645" t="s">
        <v>466</v>
      </c>
      <c r="F91" s="645">
        <v>1</v>
      </c>
      <c r="G91" s="862" t="str">
        <f>G93</f>
        <v>1524 mm (60 in.)</v>
      </c>
      <c r="H91" s="856" t="s">
        <v>465</v>
      </c>
      <c r="I91" s="852" t="s">
        <v>464</v>
      </c>
      <c r="J91" s="853" t="s">
        <v>423</v>
      </c>
      <c r="K91" s="627" t="s">
        <v>29</v>
      </c>
      <c r="L91" s="628">
        <f>IF(AND(J91="Non-powered",K91="Fabric",G91="1219 mm (48 in.)"),1230.82,IF(AND(J91="Power Below Worksurface",K91="Fabric",G91="1219 mm (48 in.)"),1429.18,IF(AND(J91="Power Above Worksurface",K91="Fabric",G91="1219 mm (48 in.)"),1039.75,IF(AND(J91="Non-powered",K91="Fabric",G91="1372 mm (54 in.)"),1318.1,IF(AND(J91="Power Below Worksurface",K91="Fabric",G91="1372 mm (54 in.)"),1516.46,IF(AND(J91="Power Above Worksurface",K91="Fabric",G91="1372 mm (54 in.)"),1105.95,IF(AND(J91="Non-powered",K91="Fabric",G91="1524 mm (60 in.)"),1405.37,IF(AND(J91="Power Below Worksurface",K91="Fabric",G91="1524 mm (60 in.)"),1603.73,IF(AND(J91="Power Above Worksurface",K91="Fabric",G91="1524 mm (60 in.)"),1172.14,)))))))))</f>
        <v>1603.73</v>
      </c>
      <c r="M91" s="633">
        <f t="shared" si="1"/>
        <v>963</v>
      </c>
      <c r="N91" s="630" t="s">
        <v>36</v>
      </c>
      <c r="O91" s="609"/>
    </row>
    <row r="92" spans="1:15" s="553" customFormat="1" ht="18" customHeight="1" x14ac:dyDescent="0.3">
      <c r="A92" s="556"/>
      <c r="B92" s="557"/>
      <c r="C92" s="851"/>
      <c r="D92" s="646" t="s">
        <v>408</v>
      </c>
      <c r="E92" s="643" t="s">
        <v>466</v>
      </c>
      <c r="F92" s="643">
        <v>1</v>
      </c>
      <c r="G92" s="862"/>
      <c r="H92" s="857"/>
      <c r="I92" s="852"/>
      <c r="J92" s="853"/>
      <c r="K92" s="631" t="s">
        <v>29</v>
      </c>
      <c r="L92" s="632">
        <f>IF(AND(J91="Non-powered",K92="Fabric",G91="1219 mm (48 in.)"),742.83,IF(AND(J91="Power Below Worksurface",K92="Fabric",G91="1219 mm (48 in.)"),941.19,IF(AND(J91="Power Above Worksurface",K92="Fabric",G91="1219 mm (48 in.)"),551.76,IF(AND(J91="Non-powered",K92="Fabric",G91="1372 mm (54 in.)"),797.48,IF(AND(J91="Power Below Worksurface",K92="Fabric",G91="1372 mm (54 in.)"),995.84,IF(AND(J91="Power Above Worksurface",K92="Fabric",G91="1372 mm (54 in.)"),585.33,IF(AND(J91="Non-powered",K92="Fabric"),852.13,IF(AND(J91="Power Below Worksurface",K92="Fabric"),1050.49,IF(AND(J91="Power Above Worksurface",K92="Fabric"),618.9,)))))))))</f>
        <v>1050.49</v>
      </c>
      <c r="M92" s="633">
        <f t="shared" si="1"/>
        <v>631</v>
      </c>
      <c r="N92" s="634" t="s">
        <v>36</v>
      </c>
      <c r="O92" s="609"/>
    </row>
    <row r="93" spans="1:15" s="553" customFormat="1" ht="34.5" customHeight="1" x14ac:dyDescent="0.3">
      <c r="A93" s="556"/>
      <c r="B93" s="557"/>
      <c r="C93" s="461" t="s">
        <v>13</v>
      </c>
      <c r="D93" s="789" t="s">
        <v>493</v>
      </c>
      <c r="E93" s="462">
        <v>2</v>
      </c>
      <c r="F93" s="463">
        <v>1</v>
      </c>
      <c r="G93" s="597" t="s">
        <v>199</v>
      </c>
      <c r="H93" s="519" t="s">
        <v>56</v>
      </c>
      <c r="I93" s="611" t="s">
        <v>211</v>
      </c>
      <c r="J93" s="600" t="s">
        <v>413</v>
      </c>
      <c r="K93" s="601" t="s">
        <v>30</v>
      </c>
      <c r="L93" s="566">
        <f>IF(AND(J93="Electric",G93="1219 mm (48 in.)"),4311.79,IF(AND(J93="Electric",G93="1372 mm (54 in.)"),4342.77,IF(AND(J93="Electric",G93="1524 mm (60 in.)"),4659.71,IF(AND(J93="Crank",G93="1219 mm (48 in.)"),2276.48,IF(AND(J93="Crank",G93="1372 mm (54 in.)"),2920.02,IF(AND(J93="Crank",G93="1524 mm (60 in.)"),2920.02,IF(AND(J93="Pneumatic",G93="1219 mm (48 in.)"),4927.26,IF(AND(J93="Pneumatic",G93="1372 mm (54 in.)"),5131.11,IF(AND(J93="Pneumatic",G93="1524 mm (60 in.)"),5131.11,)))))))))</f>
        <v>4659.71</v>
      </c>
      <c r="M93" s="633">
        <f>ROUNDUP(L93*0.3, 0)</f>
        <v>1398</v>
      </c>
      <c r="N93" s="576" t="str">
        <f>IF(AND(J93="Electric",G93="1219 mm (48 in.)"),"2WSSDEXXL30L48BELXX",IF(AND(J93="Electric",G93="1372 mm (54 in.)"),"2WSSDEXXL30L54BELXX",IF(AND(J93="Electric",G93="1524 mm (60 in.)"),"2WSSDEXXL30L60BELXX",IF(AND(J93="Crank",G93="1219 mm (48 in.)"),"2WSSDEXXL30L48BCKXX",IF(AND(J93="Crank",G93="1372 mm (54 in.)"),"2WSSDEXXL30L54BCKXX",IF(AND(J93="Crank",G93="1524 mm (60 in.)"),"2WSSDEXXL30L60BCKXX",IF(AND(J93="Pneumatic",G93="1219 mm (48 in.)"),"2WSSDEXXL30L48BCBXX",IF(AND(J93="Pneumatic",G93="1372 mm (54 in.)"),"2WSSDEXXL30L54BCBXX",IF(AND(J93="Pneumatic",G93="1524 mm (60 in.)"),"2WSSDEXXL30L60BCBXX",)))))))))</f>
        <v>2WSSDEXXL30L60BELXX</v>
      </c>
      <c r="O93" s="609"/>
    </row>
    <row r="94" spans="1:15" s="553" customFormat="1" ht="34.5" customHeight="1" x14ac:dyDescent="0.3">
      <c r="A94" s="556"/>
      <c r="B94" s="557"/>
      <c r="C94" s="461" t="s">
        <v>14</v>
      </c>
      <c r="D94" s="561" t="s">
        <v>197</v>
      </c>
      <c r="E94" s="462">
        <v>5</v>
      </c>
      <c r="F94" s="463">
        <v>1</v>
      </c>
      <c r="G94" s="586" t="s">
        <v>36</v>
      </c>
      <c r="H94" s="586" t="s">
        <v>36</v>
      </c>
      <c r="I94" s="586" t="s">
        <v>36</v>
      </c>
      <c r="J94" s="601" t="s">
        <v>426</v>
      </c>
      <c r="K94" s="594" t="s">
        <v>36</v>
      </c>
      <c r="L94" s="566">
        <f>IF(J94="Single, Clamp Mount",415.2,IF(J94="Double, Clamp Mount",721,IF(J94="Single, Grommet",275.65,IF(J94="Double, Grommet",518.7,IF(J94="None",0)))))</f>
        <v>721</v>
      </c>
      <c r="M94" s="633">
        <f>ROUNDUP(L94*0.3, 0)</f>
        <v>217</v>
      </c>
      <c r="N94" s="577" t="str">
        <f>IF(J94="Single, Clamp Mount","5MOASGARMCLPMTXXXXX",IF(J94="Double, Clamp Mount","5MOADUARMCLPMTXXXXX",IF(J94="Single, Grommet","5MOASGARMGRMMTXXXXX",IF(J94="Double, Grommet","5MOADUARMGRMMTXXXXX",IF(J94="None","N/A",)))))</f>
        <v>5MOADUARMCLPMTXXXXX</v>
      </c>
    </row>
    <row r="95" spans="1:15" s="553" customFormat="1" ht="34.5" customHeight="1" x14ac:dyDescent="0.3">
      <c r="A95" s="556"/>
      <c r="B95" s="557"/>
      <c r="C95" s="774" t="s">
        <v>15</v>
      </c>
      <c r="D95" s="561" t="s">
        <v>198</v>
      </c>
      <c r="E95" s="462">
        <v>5</v>
      </c>
      <c r="F95" s="463">
        <v>1</v>
      </c>
      <c r="G95" s="586" t="s">
        <v>36</v>
      </c>
      <c r="H95" s="586" t="s">
        <v>36</v>
      </c>
      <c r="I95" s="586" t="s">
        <v>36</v>
      </c>
      <c r="J95" s="773" t="s">
        <v>415</v>
      </c>
      <c r="K95" s="594" t="s">
        <v>36</v>
      </c>
      <c r="L95" s="566">
        <f>IF(J95="AC Power ",312.23,IF(J95="AC Power &amp; USB",252.97,IF(J95="None",0)))</f>
        <v>252.97</v>
      </c>
      <c r="M95" s="633">
        <f>ROUNDUP(L95*0.4, 0)</f>
        <v>102</v>
      </c>
      <c r="N95" s="577" t="str">
        <f>IF(J95="AC Power ","5PMOWKSMTACPWRXXXXX",IF(J95="AC Power &amp; USB","5PMOWKSMTACUSBXXXXX",IF(J95="None","N/A",)))</f>
        <v>5PMOWKSMTACUSBXXXXX</v>
      </c>
    </row>
    <row r="96" spans="1:15" s="504" customFormat="1" ht="34.5" customHeight="1" thickBot="1" x14ac:dyDescent="0.35">
      <c r="A96" s="516"/>
      <c r="B96" s="517"/>
      <c r="C96" s="775" t="s">
        <v>16</v>
      </c>
      <c r="D96" s="779" t="s">
        <v>20</v>
      </c>
      <c r="E96" s="780" t="s">
        <v>18</v>
      </c>
      <c r="F96" s="781">
        <v>1</v>
      </c>
      <c r="G96" s="782" t="s">
        <v>36</v>
      </c>
      <c r="H96" s="783" t="s">
        <v>36</v>
      </c>
      <c r="I96" s="784" t="s">
        <v>36</v>
      </c>
      <c r="J96" s="785" t="s">
        <v>353</v>
      </c>
      <c r="K96" s="782" t="s">
        <v>29</v>
      </c>
      <c r="L96" s="786">
        <v>560</v>
      </c>
      <c r="M96" s="787">
        <f t="shared" si="1"/>
        <v>336</v>
      </c>
      <c r="N96" s="788" t="s">
        <v>36</v>
      </c>
    </row>
    <row r="97" spans="1:14" s="506" customFormat="1" ht="18" customHeight="1" thickBot="1" x14ac:dyDescent="0.35">
      <c r="A97" s="546"/>
      <c r="B97" s="517"/>
      <c r="C97" s="547" t="s">
        <v>463</v>
      </c>
      <c r="D97" s="547"/>
      <c r="E97" s="790"/>
      <c r="F97" s="610"/>
      <c r="G97" s="606"/>
      <c r="H97" s="606"/>
      <c r="I97" s="606"/>
      <c r="J97" s="612"/>
      <c r="K97" s="612"/>
      <c r="L97" s="613"/>
      <c r="M97" s="613"/>
      <c r="N97" s="606"/>
    </row>
    <row r="98" spans="1:14" s="553" customFormat="1" ht="34.5" customHeight="1" x14ac:dyDescent="0.3">
      <c r="A98" s="556"/>
      <c r="B98" s="557"/>
      <c r="C98" s="552" t="s">
        <v>17</v>
      </c>
      <c r="D98" s="570" t="s">
        <v>340</v>
      </c>
      <c r="E98" s="583">
        <v>5</v>
      </c>
      <c r="F98" s="598">
        <v>1</v>
      </c>
      <c r="G98" s="585" t="s">
        <v>36</v>
      </c>
      <c r="H98" s="585" t="s">
        <v>36</v>
      </c>
      <c r="I98" s="585" t="s">
        <v>36</v>
      </c>
      <c r="J98" s="603" t="s">
        <v>443</v>
      </c>
      <c r="K98" s="592" t="s">
        <v>36</v>
      </c>
      <c r="L98" s="564">
        <f>IF(J98="Desk Base, AC Power",248.3,IF(J98="Desk Base, USB",445.74,IF(J98="Desk Base, AC and USB Power",273.5,IF(J98="Clamp Base, AC Power",199.28,IF(J98="Clamp Base, USB",240,IF(J98="Clamp Base, AC and USB Power",215.74,IF(J98="None",0)))))))</f>
        <v>248.3</v>
      </c>
      <c r="M98" s="565">
        <f>ROUNDUP(L98*0.6, 0)</f>
        <v>149</v>
      </c>
      <c r="N98" s="579" t="str">
        <f>IF(J98="Desk Base, AC Power","5TLTDSKBAACPWRXXXXX",IF(J98="Desk Base, USB","5TLTDSKBAUSBPWXXXXX",IF(J98="Desk Base, AC and USB Power","5TLTDSKBAACUSBXXXXX",IF(J98="Clamp Base, AC Power","5TLTCLPBAACPWRXXXXX",IF(J98="Clamp Base, USB","5TLTCLPBAUSBPWXXXXX",IF(J98="Clamp Base, AC and USB Power","5TLTCLPBAACUSBXXXXX",IF(J98="None","N/A",)))))))</f>
        <v>5TLTDSKBAACPWRXXXXX</v>
      </c>
    </row>
    <row r="99" spans="1:14" s="553" customFormat="1" ht="34.5" customHeight="1" thickBot="1" x14ac:dyDescent="0.35">
      <c r="A99" s="556"/>
      <c r="B99" s="557"/>
      <c r="C99" s="572" t="s">
        <v>46</v>
      </c>
      <c r="D99" s="574" t="s">
        <v>417</v>
      </c>
      <c r="E99" s="761">
        <f>IF(J99="Undersurface Mounted Storage Cubbie", "NSA", 6)</f>
        <v>6</v>
      </c>
      <c r="F99" s="599">
        <v>1</v>
      </c>
      <c r="G99" s="607">
        <f>IF(J99="Credenza, Partial Height, Closed Doors (Keyless)",42,IF(J99="Credenza, Partial Height, Combination (Keyless)",42,IF(J99="Credenza, Partial Height, Drawers (Keyless)",42,IF(J99="Credenza, Partial Height, Open Shelving",42,IF(J99="Pedestal (Medium), Mobile (Keyless)",15,IF(J99="Pedestal (Large), Mobile (Keyless)",15,IF(J99="Undersurface Mounted Storage Cubbie","min 7",IF(J99="None","N/A",))))))))</f>
        <v>15</v>
      </c>
      <c r="H99" s="607">
        <f>IF(J99="Credenza, Partial Height, Closed Doors (Keyless)",20,IF(J99="Credenza, Partial Height, Combination (Keyless)",20,IF(J99="Credenza, Partial Height, Drawers (Keyless)",20,IF(J99="Credenza, Partial Height, Open Shelving",20,IF(J99="Pedestal (Medium), Mobile (Keyless)",18,IF(J99="Pedestal (Large), Mobile (Keyless)",24,IF(J99="Undersurface Mounted Storage Cubbie","min 15",IF(J99="None","N/A",))))))))</f>
        <v>18</v>
      </c>
      <c r="I99" s="607" t="str">
        <f>IF(J99="Credenza, Partial Height, Closed Doors (Keyless)","21 to 24",IF(J99="Credenza, Partial Height, Combination (Keyless)","21 to 24",IF(J99="Credenza, Partial Height, Drawers (Keyless)","21 to 24",IF(J99="Credenza, Partial Height, Open Shelving","21 to 24",IF(J99="Pedestal (Medium), Mobile (Keyless)","Varies",IF(J99="Pedestal (Large), Mobile (Keyless)","Varies",IF(J99="Undersurface Mounted Storage Cubbie","min 16",IF(J99="None","N/A",))))))))</f>
        <v>Varies</v>
      </c>
      <c r="J99" s="604" t="s">
        <v>450</v>
      </c>
      <c r="K99" s="605" t="s">
        <v>30</v>
      </c>
      <c r="L99" s="571">
        <f>IF(AND(J99="Pedestal (Medium), Mobile (Keyless)",K99="Painted Metal"),1024.1,IF(AND(J99="Pedestal (Medium), Mobile (Keyless)",K99="Laminate"),1428.98,IF(AND(J99="Pedestal (Large), Mobile (Keyless)",K99="Painted Metal"),1048.1,IF(AND(J99="Pedestal (Large), Mobile (Keyless)",K99="Laminate"),1486,))))</f>
        <v>1428.98</v>
      </c>
      <c r="M99" s="466">
        <f>ROUNDUP(L99*0.2, 0)</f>
        <v>286</v>
      </c>
      <c r="N99" s="580" t="str">
        <f>IF(AND(J99="Pedestal (Medium), Mobile (Keyless)",K99="Painted Metal"),"1bSPBMCAA1518XXYSXX",IF(AND(J99="Pedestal (Medium), Mobile (Keyless)",K99="Laminate"),"1bSPBMCAL1518XXYSXX",IF(AND(J99="Pedestal (Large), Mobile (Keyless)",K99="Painted Metal"),"1bSPBMCAA1524XXYSXX",IF(AND(J99="Pedestal (Large), Mobile (Keyless)",K99="Laminate"),"1bSPBMCAL1524XXYSXX",IF(AND(J99="Credenza, Partial Height, Closed Doors (Keyless)",K99="Painted Metal"),"1bCHHAX20L42XDDDDSX",IF(AND(J99="Credenza, Partial Height, Closed Doors (Keyless)",K99="Laminate"),"1bCHHLX20L42XDDDDSX",IF(AND(J99="Credenza, Partial Height, Drawers (Keyless)",K99="Painted Metal"),"1bCHHAX20L42XDDDDSX",IF(AND(J99="Credenza, Partial Height, Drawers (Keyless)",K99="Laminate"),"1bCHHLX20L42XBFBFSX",IF(J99="None","N/A",)))))))))</f>
        <v>1bSPBMCAL1518XXYSXX</v>
      </c>
    </row>
    <row r="100" spans="1:14" ht="18" customHeight="1" x14ac:dyDescent="0.3">
      <c r="A100" s="771"/>
      <c r="B100" s="249"/>
      <c r="C100" s="527"/>
      <c r="D100" s="527"/>
      <c r="N100" s="318" t="s">
        <v>385</v>
      </c>
    </row>
    <row r="101" spans="1:14" ht="18" customHeight="1" x14ac:dyDescent="0.3">
      <c r="A101" s="771"/>
      <c r="B101" s="249"/>
      <c r="C101" s="527"/>
      <c r="D101" s="527"/>
      <c r="N101" s="318"/>
    </row>
    <row r="102" spans="1:14" ht="18" customHeight="1" x14ac:dyDescent="0.3">
      <c r="A102" s="771"/>
      <c r="B102" s="249"/>
      <c r="C102" s="527"/>
      <c r="D102" s="527"/>
      <c r="N102" s="318"/>
    </row>
    <row r="103" spans="1:14" ht="18" customHeight="1" x14ac:dyDescent="0.3">
      <c r="A103" s="771"/>
      <c r="B103" s="249"/>
      <c r="C103" s="527"/>
      <c r="D103" s="527"/>
      <c r="N103" s="318"/>
    </row>
    <row r="104" spans="1:14" ht="18" customHeight="1" x14ac:dyDescent="0.3">
      <c r="A104" s="771"/>
      <c r="B104" s="249"/>
      <c r="C104" s="527"/>
      <c r="D104" s="527"/>
      <c r="N104" s="318"/>
    </row>
    <row r="105" spans="1:14" ht="18" customHeight="1" x14ac:dyDescent="0.3">
      <c r="A105" s="771"/>
      <c r="B105" s="249"/>
      <c r="C105" s="527"/>
      <c r="D105" s="527"/>
      <c r="N105" s="318"/>
    </row>
    <row r="106" spans="1:14" ht="18" customHeight="1" x14ac:dyDescent="0.3">
      <c r="A106" s="771"/>
      <c r="B106" s="249"/>
      <c r="C106" s="527"/>
      <c r="D106" s="527"/>
      <c r="N106" s="318"/>
    </row>
    <row r="107" spans="1:14" ht="18" customHeight="1" x14ac:dyDescent="0.3">
      <c r="A107" s="771"/>
      <c r="B107" s="249"/>
      <c r="C107" s="527"/>
      <c r="D107" s="527"/>
      <c r="N107" s="318"/>
    </row>
    <row r="108" spans="1:14" ht="18" customHeight="1" x14ac:dyDescent="0.3">
      <c r="A108" s="771"/>
      <c r="B108" s="249"/>
      <c r="C108" s="527"/>
      <c r="D108" s="527"/>
      <c r="N108" s="318"/>
    </row>
    <row r="109" spans="1:14" ht="18" customHeight="1" x14ac:dyDescent="0.3">
      <c r="A109" s="771"/>
      <c r="B109" s="249"/>
      <c r="C109" s="527"/>
      <c r="D109" s="527"/>
      <c r="N109" s="318"/>
    </row>
    <row r="110" spans="1:14" ht="18" customHeight="1" x14ac:dyDescent="0.3">
      <c r="A110" s="771"/>
      <c r="B110" s="249"/>
      <c r="C110" s="527"/>
      <c r="D110" s="527"/>
      <c r="N110" s="318"/>
    </row>
    <row r="111" spans="1:14" ht="18" customHeight="1" x14ac:dyDescent="0.3">
      <c r="A111" s="771"/>
      <c r="B111" s="249"/>
      <c r="C111" s="527"/>
      <c r="D111" s="527"/>
      <c r="N111" s="318"/>
    </row>
    <row r="112" spans="1:14" ht="18" customHeight="1" x14ac:dyDescent="0.3">
      <c r="A112" s="771"/>
      <c r="B112" s="249"/>
      <c r="C112" s="527"/>
      <c r="D112" s="527"/>
      <c r="N112" s="318"/>
    </row>
    <row r="113" spans="1:14" ht="18" customHeight="1" x14ac:dyDescent="0.3">
      <c r="A113" s="771"/>
      <c r="B113" s="249"/>
      <c r="C113" s="527"/>
      <c r="D113" s="527"/>
      <c r="N113" s="318"/>
    </row>
    <row r="114" spans="1:14" ht="18" customHeight="1" x14ac:dyDescent="0.3">
      <c r="A114" s="771"/>
      <c r="B114" s="249"/>
      <c r="C114" s="527"/>
      <c r="D114" s="527"/>
      <c r="N114" s="318"/>
    </row>
    <row r="115" spans="1:14" ht="18" customHeight="1" x14ac:dyDescent="0.3">
      <c r="A115" s="771"/>
      <c r="B115" s="249"/>
      <c r="C115" s="527"/>
      <c r="D115" s="527"/>
      <c r="N115" s="318"/>
    </row>
    <row r="116" spans="1:14" ht="18" customHeight="1" x14ac:dyDescent="0.3">
      <c r="A116" s="771"/>
      <c r="B116" s="249"/>
      <c r="C116" s="527"/>
      <c r="D116" s="527"/>
      <c r="N116" s="318"/>
    </row>
    <row r="117" spans="1:14" ht="18" customHeight="1" x14ac:dyDescent="0.3">
      <c r="A117" s="771"/>
      <c r="B117" s="249"/>
      <c r="C117" s="527"/>
      <c r="D117" s="527"/>
      <c r="N117" s="318"/>
    </row>
    <row r="118" spans="1:14" ht="18" customHeight="1" x14ac:dyDescent="0.3">
      <c r="A118" s="771"/>
      <c r="B118" s="249"/>
      <c r="C118" s="527"/>
      <c r="D118" s="527"/>
      <c r="N118" s="318"/>
    </row>
    <row r="119" spans="1:14" ht="18" customHeight="1" x14ac:dyDescent="0.3">
      <c r="A119" s="771"/>
      <c r="B119" s="249"/>
      <c r="C119" s="527"/>
      <c r="D119" s="527"/>
      <c r="N119" s="318"/>
    </row>
    <row r="120" spans="1:14" ht="18" customHeight="1" x14ac:dyDescent="0.3">
      <c r="A120" s="771"/>
      <c r="B120" s="249"/>
      <c r="C120" s="527"/>
      <c r="D120" s="527"/>
      <c r="N120" s="318"/>
    </row>
    <row r="121" spans="1:14" ht="18" customHeight="1" x14ac:dyDescent="0.3">
      <c r="A121" s="771"/>
      <c r="B121" s="249"/>
      <c r="C121" s="527"/>
      <c r="D121" s="527"/>
      <c r="N121" s="318"/>
    </row>
    <row r="122" spans="1:14" ht="18" customHeight="1" x14ac:dyDescent="0.3">
      <c r="A122" s="854" t="s">
        <v>35</v>
      </c>
      <c r="B122" s="249"/>
      <c r="C122" s="527"/>
      <c r="D122" s="527"/>
      <c r="N122" s="318"/>
    </row>
    <row r="123" spans="1:14" ht="18" customHeight="1" x14ac:dyDescent="0.3">
      <c r="A123" s="854"/>
      <c r="B123" s="249"/>
      <c r="C123" s="527"/>
      <c r="D123" s="527"/>
    </row>
    <row r="124" spans="1:14" ht="18" customHeight="1" x14ac:dyDescent="0.3">
      <c r="A124" s="854"/>
      <c r="B124" s="249"/>
      <c r="C124" s="527"/>
      <c r="D124" s="527"/>
    </row>
    <row r="125" spans="1:14" ht="18" customHeight="1" thickBot="1" x14ac:dyDescent="0.35">
      <c r="A125" s="866"/>
      <c r="B125" s="249"/>
      <c r="C125" s="527"/>
      <c r="D125" s="527"/>
    </row>
    <row r="126" spans="1:14" ht="35.25" customHeight="1" x14ac:dyDescent="0.45">
      <c r="A126" s="614"/>
      <c r="B126" s="615"/>
      <c r="C126" s="616"/>
      <c r="D126" s="616"/>
      <c r="E126" s="617"/>
      <c r="F126" s="617"/>
      <c r="G126" s="618"/>
      <c r="H126" s="618"/>
      <c r="I126" s="618"/>
      <c r="J126" s="618"/>
      <c r="K126" s="619"/>
      <c r="L126" s="619"/>
      <c r="M126" s="619"/>
      <c r="N126" s="619"/>
    </row>
    <row r="127" spans="1:14" ht="32.4" customHeight="1" x14ac:dyDescent="0.3">
      <c r="A127" s="864" t="s">
        <v>332</v>
      </c>
      <c r="B127" s="249"/>
      <c r="C127" s="250" t="s">
        <v>476</v>
      </c>
      <c r="D127" s="527"/>
      <c r="N127" s="328" t="s">
        <v>34</v>
      </c>
    </row>
    <row r="128" spans="1:14" ht="25.8" customHeight="1" x14ac:dyDescent="0.5">
      <c r="A128" s="865"/>
      <c r="B128" s="249"/>
      <c r="C128" s="251" t="s">
        <v>477</v>
      </c>
      <c r="D128" s="527"/>
    </row>
    <row r="129" spans="1:17" ht="25.8" customHeight="1" x14ac:dyDescent="0.5">
      <c r="A129" s="865"/>
      <c r="B129" s="249"/>
      <c r="C129" s="522" t="str">
        <f>"COST (EST.): "&amp;TEXT(SUM(M136:M149),"$0,000.00")</f>
        <v>COST (EST.): $7,175.00</v>
      </c>
      <c r="D129" s="527"/>
    </row>
    <row r="130" spans="1:17" ht="72" customHeight="1" x14ac:dyDescent="0.3">
      <c r="A130" s="865"/>
      <c r="B130" s="249"/>
      <c r="C130" s="527"/>
      <c r="D130" s="527"/>
    </row>
    <row r="131" spans="1:17" ht="72" customHeight="1" x14ac:dyDescent="0.3">
      <c r="A131" s="865"/>
      <c r="B131" s="249"/>
      <c r="C131" s="527"/>
      <c r="D131" s="527"/>
    </row>
    <row r="132" spans="1:17" ht="72" customHeight="1" x14ac:dyDescent="0.3">
      <c r="A132" s="865"/>
      <c r="B132" s="249"/>
      <c r="C132" s="527"/>
      <c r="D132" s="527"/>
    </row>
    <row r="133" spans="1:17" ht="72" customHeight="1" x14ac:dyDescent="0.3">
      <c r="A133" s="865"/>
      <c r="B133" s="249"/>
      <c r="C133" s="527"/>
      <c r="D133" s="527"/>
    </row>
    <row r="134" spans="1:17" s="472" customFormat="1" ht="18" customHeight="1" thickBot="1" x14ac:dyDescent="0.35">
      <c r="A134" s="467"/>
      <c r="B134" s="468"/>
      <c r="C134" s="493" t="s">
        <v>1</v>
      </c>
      <c r="D134" s="622"/>
      <c r="E134" s="254" t="s">
        <v>2</v>
      </c>
      <c r="F134" s="254" t="s">
        <v>3</v>
      </c>
      <c r="G134" s="268" t="s">
        <v>4</v>
      </c>
      <c r="H134" s="268" t="s">
        <v>5</v>
      </c>
      <c r="I134" s="268" t="s">
        <v>6</v>
      </c>
      <c r="J134" s="259" t="s">
        <v>7</v>
      </c>
      <c r="K134" s="259" t="s">
        <v>8</v>
      </c>
      <c r="L134" s="259" t="s">
        <v>283</v>
      </c>
      <c r="M134" s="259" t="s">
        <v>352</v>
      </c>
      <c r="N134" s="268" t="s">
        <v>10</v>
      </c>
    </row>
    <row r="135" spans="1:17" s="625" customFormat="1" ht="18" customHeight="1" thickBot="1" x14ac:dyDescent="0.35">
      <c r="A135" s="623"/>
      <c r="B135" s="624"/>
      <c r="C135" s="621" t="s">
        <v>420</v>
      </c>
      <c r="D135" s="621"/>
      <c r="E135" s="474"/>
      <c r="F135" s="474"/>
      <c r="G135" s="621"/>
      <c r="H135" s="621"/>
      <c r="I135" s="621"/>
      <c r="J135" s="626"/>
      <c r="K135" s="626"/>
      <c r="L135" s="626"/>
      <c r="M135" s="626"/>
      <c r="N135" s="621"/>
    </row>
    <row r="136" spans="1:17" s="553" customFormat="1" ht="18" customHeight="1" x14ac:dyDescent="0.3">
      <c r="A136" s="556"/>
      <c r="B136" s="557"/>
      <c r="C136" s="859">
        <v>1</v>
      </c>
      <c r="D136" s="640" t="s">
        <v>406</v>
      </c>
      <c r="E136" s="641" t="s">
        <v>466</v>
      </c>
      <c r="F136" s="641">
        <v>1</v>
      </c>
      <c r="G136" s="859" t="str">
        <f>G142</f>
        <v>1524 mm (60 in.)</v>
      </c>
      <c r="H136" s="861" t="s">
        <v>465</v>
      </c>
      <c r="I136" s="860" t="s">
        <v>464</v>
      </c>
      <c r="J136" s="858" t="s">
        <v>423</v>
      </c>
      <c r="K136" s="635" t="s">
        <v>29</v>
      </c>
      <c r="L136" s="636">
        <f>IF(AND(J136="Non-powered",K136="Fabric",G136="1219 mm (48 in.)"),1230.82,IF(AND(J136="Power Below Worksurface",K136="Fabric",G136="1219 mm (48 in.)"),1429.18,IF(AND(J136="Power Above Worksurface",K136="Fabric",G136="1219 mm (48 in.)"),1039.75,IF(AND(J136="Non-powered",K136="Fabric",G136="1372 mm (54 in.)"),1318.1,IF(AND(J136="Power Below Worksurface",K136="Fabric",G136="1372 mm (54 in.)"),1516.46,IF(AND(J136="Power Above Worksurface",K136="Fabric",G136="1372 mm (54 in.)"),1105.95,IF(AND(J136="Non-powered",K136="Fabric",G136="1524 mm (60 in.)"),1405.37,IF(AND(J136="Power Below Worksurface",K136="Fabric",G136="1524 mm (60 in.)"),1603.73,IF(AND(J136="Power Above Worksurface",K136="Fabric",G136="1524 mm (60 in.)"),1172.14,)))))))))</f>
        <v>1603.73</v>
      </c>
      <c r="M136" s="637">
        <f t="shared" ref="M136:M145" si="2">ROUNDUP(L136*0.6, 0)</f>
        <v>963</v>
      </c>
      <c r="N136" s="655" t="s">
        <v>36</v>
      </c>
    </row>
    <row r="137" spans="1:17" s="553" customFormat="1" ht="18" customHeight="1" x14ac:dyDescent="0.3">
      <c r="A137" s="556"/>
      <c r="B137" s="557"/>
      <c r="C137" s="851"/>
      <c r="D137" s="642" t="s">
        <v>408</v>
      </c>
      <c r="E137" s="647" t="s">
        <v>466</v>
      </c>
      <c r="F137" s="643">
        <v>1</v>
      </c>
      <c r="G137" s="851"/>
      <c r="H137" s="857"/>
      <c r="I137" s="852"/>
      <c r="J137" s="853"/>
      <c r="K137" s="631" t="s">
        <v>29</v>
      </c>
      <c r="L137" s="632">
        <f>IF(AND(J136="Non-powered",K137="Fabric",G136="1219 mm (48 in.)"),742.83,IF(AND(J136="Power Below Worksurface",K137="Fabric",G136="1219 mm (48 in.)"),941.19,IF(AND(J136="Power Above Worksurface",K137="Fabric",G136="1219 mm (48 in.)"),551.76,IF(AND(J136="Non-powered",K137="Fabric",G136="1372 mm (54 in.)"),797.48,IF(AND(J136="Power Below Worksurface",K137="Fabric",G136="1372 mm (54 in.)"),995.84,IF(AND(J136="Power Above Worksurface",K137="Fabric",G136="1372 mm (54 in.)"),585.33,IF(AND(J136="Non-powered",K137="Fabric"),852.13,IF(AND(J136="Power Below Worksurface",K137="Fabric"),1050.49,IF(AND(J136="Power Above Worksurface",K137="Fabric"),618.9,)))))))))</f>
        <v>1050.49</v>
      </c>
      <c r="M137" s="633">
        <f t="shared" si="2"/>
        <v>631</v>
      </c>
      <c r="N137" s="656" t="s">
        <v>36</v>
      </c>
    </row>
    <row r="138" spans="1:17" s="553" customFormat="1" ht="18" customHeight="1" x14ac:dyDescent="0.3">
      <c r="A138" s="556"/>
      <c r="B138" s="557"/>
      <c r="C138" s="851">
        <v>2</v>
      </c>
      <c r="D138" s="644" t="s">
        <v>406</v>
      </c>
      <c r="E138" s="645" t="s">
        <v>466</v>
      </c>
      <c r="F138" s="645">
        <v>1</v>
      </c>
      <c r="G138" s="851" t="str">
        <f>G142</f>
        <v>1524 mm (60 in.)</v>
      </c>
      <c r="H138" s="856" t="s">
        <v>465</v>
      </c>
      <c r="I138" s="852" t="s">
        <v>464</v>
      </c>
      <c r="J138" s="853" t="s">
        <v>423</v>
      </c>
      <c r="K138" s="627" t="s">
        <v>29</v>
      </c>
      <c r="L138" s="628">
        <f>IF(AND(J138="Non-powered",K138="Fabric",G138="1219 mm (48 in.)"),1230.82,IF(AND(J138="Power Below Worksurface",K138="Fabric",G138="1219 mm (48 in.)"),1429.18,IF(AND(J138="Power Above Worksurface",K138="Fabric",G138="1219 mm (48 in.)"),1039.75,IF(AND(J138="Non-powered",K138="Fabric",G138="1372 mm (54 in.)"),1318.1,IF(AND(J138="Power Below Worksurface",K138="Fabric",G138="1372 mm (54 in.)"),1516.46,IF(AND(J138="Power Above Worksurface",K138="Fabric",G138="1372 mm (54 in.)"),1105.95,IF(AND(J138="Non-powered",K138="Fabric",G138="1524 mm (60 in.)"),1405.37,IF(AND(J138="Power Below Worksurface",K138="Fabric",G138="1524 mm (60 in.)"),1603.73,IF(AND(J138="Power Above Worksurface",K138="Fabric",G138="1524 mm (60 in.)"),1172.14,)))))))))</f>
        <v>1603.73</v>
      </c>
      <c r="M138" s="629">
        <f t="shared" si="2"/>
        <v>963</v>
      </c>
      <c r="N138" s="657" t="s">
        <v>36</v>
      </c>
    </row>
    <row r="139" spans="1:17" s="553" customFormat="1" ht="18" customHeight="1" x14ac:dyDescent="0.3">
      <c r="A139" s="556"/>
      <c r="B139" s="557"/>
      <c r="C139" s="851"/>
      <c r="D139" s="646" t="s">
        <v>408</v>
      </c>
      <c r="E139" s="643" t="s">
        <v>466</v>
      </c>
      <c r="F139" s="643">
        <v>1</v>
      </c>
      <c r="G139" s="851"/>
      <c r="H139" s="857"/>
      <c r="I139" s="852"/>
      <c r="J139" s="853"/>
      <c r="K139" s="631" t="s">
        <v>29</v>
      </c>
      <c r="L139" s="820">
        <f>IF(AND(J138="Non-powered",K139="Fabric",G138="1219 mm (48 in.)"),742.83,IF(AND(J138="Power Below Worksurface",K139="Fabric",G138="1219 mm (48 in.)"),941.19,IF(AND(J138="Power Above Worksurface",K139="Fabric",G138="1219 mm (48 in.)"),551.76,IF(AND(J138="Non-powered",K139="Fabric",G138="1372 mm (54 in.)"),797.48,IF(AND(J138="Power Below Worksurface",K139="Fabric",G138="1372 mm (54 in.)"),995.84,IF(AND(J138="Power Above Worksurface",K139="Fabric",G138="1372 mm (54 in.)"),585.33,IF(AND(J138="Non-powered",K139="Fabric"),852.13,IF(AND(J138="Power Below Worksurface",K139="Fabric"),1050.49,IF(AND(J138="Power Above Worksurface",K139="Fabric"),618.9,)))))))))</f>
        <v>1050.49</v>
      </c>
      <c r="M139" s="629">
        <f t="shared" si="2"/>
        <v>631</v>
      </c>
      <c r="N139" s="656" t="s">
        <v>36</v>
      </c>
    </row>
    <row r="140" spans="1:17" s="553" customFormat="1" ht="18" customHeight="1" x14ac:dyDescent="0.3">
      <c r="A140" s="556"/>
      <c r="B140" s="557"/>
      <c r="C140" s="851">
        <v>3</v>
      </c>
      <c r="D140" s="644" t="s">
        <v>406</v>
      </c>
      <c r="E140" s="645" t="s">
        <v>466</v>
      </c>
      <c r="F140" s="645">
        <v>1</v>
      </c>
      <c r="G140" s="851" t="str">
        <f>G148</f>
        <v>1372 mm (54 in.)</v>
      </c>
      <c r="H140" s="856" t="s">
        <v>465</v>
      </c>
      <c r="I140" s="852" t="s">
        <v>464</v>
      </c>
      <c r="J140" s="853" t="s">
        <v>407</v>
      </c>
      <c r="K140" s="818" t="s">
        <v>29</v>
      </c>
      <c r="L140" s="566">
        <f>IF(AND(K140="Frosted Acrylic",G140="1067 mm (42 in.)"),993.75,IF(AND(K140="Frosted Acrylic",G140="1219 mm (48 in.)"),1018.63,IF(AND(K140="Frosted Acrylic",G140="1372 mm (54 in.)"),1018.63,IF(AND(J140="Non-powered",K140="Fabric",G140="1067 mm (42 in.)"),1143.56,IF(AND(J140="Power Below Worksurface",K140="Fabric",G140="1067 mm (42 in.)"),1341.92,IF(AND(J140="Power Above Worksurface",K140="Fabric",G140="1067 mm (42 in.)"),973.58,IF(AND(J140="Non-powered",K140="Fabric",G140="1219 mm (48 in.)"),1230.82,IF(AND(J140="Power Below Worksurface",K140="Fabric",G140="1219 mm (48 in.)"),1429.18,IF(AND(J140="Power Above Worksurface",K140="Fabric",G140="1219 mm (48 in.)"),1038.75,IF(AND(J140="Non-powered",K140="Fabric",G140="1372 mm (54 in.)"),1318.1,IF(AND(J140="Power Below Worksurface",K140="Fabric",G140="1372 mm (54 in.)"),1516.46,IF(AND(J140="Power Above Worksurface",K140="Fabric",G140="1372 mm (54 in.)"),1105.95,))))))))))))</f>
        <v>1318.1</v>
      </c>
      <c r="M140" s="629">
        <f t="shared" si="2"/>
        <v>791</v>
      </c>
      <c r="N140" s="657" t="str">
        <f>IF(AND(K140="Frosted Acrylic",G140="914 mm (36 in.)"),"1bCPSXXNXXL36XFRNNN",IF(AND(K140="Frosted Acrylic",G140="1067 mm (42 in.)"),"1bCPSXXNXXL42XFRNNN",IF(K140="Fabric","N/A",)))</f>
        <v>N/A</v>
      </c>
      <c r="O140" s="609"/>
      <c r="P140" s="817"/>
      <c r="Q140" s="609"/>
    </row>
    <row r="141" spans="1:17" s="553" customFormat="1" ht="18" customHeight="1" x14ac:dyDescent="0.3">
      <c r="A141" s="556"/>
      <c r="B141" s="557"/>
      <c r="C141" s="851"/>
      <c r="D141" s="646" t="s">
        <v>408</v>
      </c>
      <c r="E141" s="643" t="s">
        <v>466</v>
      </c>
      <c r="F141" s="643">
        <v>1</v>
      </c>
      <c r="G141" s="851"/>
      <c r="H141" s="857"/>
      <c r="I141" s="852"/>
      <c r="J141" s="853"/>
      <c r="K141" s="819" t="s">
        <v>29</v>
      </c>
      <c r="L141" s="822">
        <f>IF(AND(J140="Non-powered",K141="Fabric",G140="1067 mm (42 in.)"),688.18,IF(AND(J140="Power Below Worksurface",K141="Fabric",G140="1067 mm (42 in.)"),886.54,IF(AND(J140="Power Above Worksurface",K141="Fabric",G140="1067 mm (42 in.)"),518.19,IF(AND(J140="Non-powered",K141="Fabric",G140="1219 mm (48 in.)"),742.83,IF(AND(J140="Power Below Worksurface",K141="Fabric",G140="1219 mm (48 in.)"),941.19,IF(AND(J140="Power Above Worksurface",K141="Fabric",G140="1219 mm (48 in.)"),551.76,IF(AND(J140="Non-powered",K141="Fabric",G140="1372 mm (54 in.)"),797.48,IF(AND(J140="Power Below Worksurface",K141="Fabric",G140="1372 mm (54 in.)"),995.84,IF(AND(J140="Power Above Worksurface",K141="Fabric",G140="1372 mm (54 in.)"),585.33,)))))))))</f>
        <v>797.48</v>
      </c>
      <c r="M141" s="464">
        <f t="shared" si="2"/>
        <v>479</v>
      </c>
      <c r="N141" s="656" t="s">
        <v>36</v>
      </c>
      <c r="O141" s="609"/>
      <c r="P141" s="817"/>
      <c r="Q141" s="609"/>
    </row>
    <row r="142" spans="1:17" s="553" customFormat="1" ht="34.5" customHeight="1" x14ac:dyDescent="0.3">
      <c r="A142" s="556"/>
      <c r="B142" s="557"/>
      <c r="C142" s="461" t="s">
        <v>13</v>
      </c>
      <c r="D142" s="789" t="s">
        <v>493</v>
      </c>
      <c r="E142" s="462">
        <v>2</v>
      </c>
      <c r="F142" s="463">
        <v>1</v>
      </c>
      <c r="G142" s="791" t="s">
        <v>199</v>
      </c>
      <c r="H142" s="519" t="s">
        <v>56</v>
      </c>
      <c r="I142" s="611" t="s">
        <v>211</v>
      </c>
      <c r="J142" s="600" t="s">
        <v>413</v>
      </c>
      <c r="K142" s="773" t="s">
        <v>30</v>
      </c>
      <c r="L142" s="821">
        <f>(IF(AND(J142="Electric",G142="1219 mm (48 in.)"),4311.79,IF(AND(J142="Electric",G142="1372 mm (54 in.)"),4342.77,IF(AND(J142="Electric",G142="1524 mm (60 in.)"),4659.71,IF(AND(J142="Crank",G142="1219 mm (48 in.)"),2276.48,IF(AND(J142="Crank",G142="1372 mm (54 in.)"),2920.02,IF(AND(J142="Crank",G142="1524 mm (60 in.)"),2920.02,IF(AND(J142="Pneumatic",G142="1219 mm (48 in.)"),4927.26,IF(AND(J142="Pneumatic",G142="1372 mm (54 in.)"),5131.11,IF(AND(J142="Pneumatic",G142="1524 mm (60 in.)"),5131.11,))))))))))*F142</f>
        <v>4659.71</v>
      </c>
      <c r="M142" s="629">
        <f>ROUNDUP(L142*0.3, 0)</f>
        <v>1398</v>
      </c>
      <c r="N142" s="658" t="str">
        <f>IF(AND(J142="Electric",G142="1219 mm (48 in.)"),"2WSSDEXXL30L48BELXX",IF(AND(J142="Electric",G142="1372 mm (54 in.)"),"2WSSDEXXL30L54BELXX",IF(AND(J142="Electric",G142="1524 mm (60 in.)"),"2WSSDEXXL30L60BELXX",IF(AND(J142="Crank",G142="1219 mm (48 in.)"),"2WSSDEXXL30L48BCKXX",IF(AND(J142="Crank",G142="1372 mm (54 in.)"),"2WSSDEXXL30L54BCKXX",IF(AND(J142="Crank",G142="1524 mm (60 in.)"),"2WSSDEXXL30L60BCKXX",IF(AND(J142="Pneumatic",G142="1219 mm (48 in.)"),"2WSSDEXXL30L48BCBXX",IF(AND(J142="Pneumatic",G142="1372 mm (54 in.)"),"2WSSDEXXL30L54BCBXX",IF(AND(J142="Pneumatic",G142="1524 mm (60 in.)"),"2WSSDEXXL30L60BCBXX",)))))))))</f>
        <v>2WSSDEXXL30L60BELXX</v>
      </c>
      <c r="O142" s="609"/>
    </row>
    <row r="143" spans="1:17" s="553" customFormat="1" ht="34.5" customHeight="1" x14ac:dyDescent="0.3">
      <c r="A143" s="556"/>
      <c r="B143" s="557"/>
      <c r="C143" s="461" t="s">
        <v>14</v>
      </c>
      <c r="D143" s="561" t="s">
        <v>197</v>
      </c>
      <c r="E143" s="462">
        <v>5</v>
      </c>
      <c r="F143" s="463">
        <v>1</v>
      </c>
      <c r="G143" s="573" t="s">
        <v>36</v>
      </c>
      <c r="H143" s="573" t="s">
        <v>36</v>
      </c>
      <c r="I143" s="573" t="s">
        <v>36</v>
      </c>
      <c r="J143" s="773" t="s">
        <v>426</v>
      </c>
      <c r="K143" s="594" t="s">
        <v>36</v>
      </c>
      <c r="L143" s="566">
        <f>(IF(J143="Single, Clamp Mount",415.2,IF(J143="Double, Clamp Mount",721,IF(J143="Single, Grommet",275.65,IF(J143="Double, Grommet",518.7,IF(J143="None",0))))))*F143</f>
        <v>721</v>
      </c>
      <c r="M143" s="629">
        <f>ROUNDUP(L143*0.3, 0)</f>
        <v>217</v>
      </c>
      <c r="N143" s="659" t="str">
        <f>IF(J143="Single, Clamp Mount","5MOASGARMCLPMTXXXXX",IF(J143="Double, Clamp Mount","5MOADUARMCLPMTXXXXX",IF(J143="Single, Grommet","5MOASGARMGRMMTXXXXX",IF(J143="Double, Grommet","5MOADUARMGRMMTXXXXX",IF(J143="None","N/A",)))))</f>
        <v>5MOADUARMCLPMTXXXXX</v>
      </c>
      <c r="O143" s="609"/>
    </row>
    <row r="144" spans="1:17" s="553" customFormat="1" ht="34.5" customHeight="1" x14ac:dyDescent="0.3">
      <c r="A144" s="556"/>
      <c r="B144" s="557"/>
      <c r="C144" s="774" t="s">
        <v>15</v>
      </c>
      <c r="D144" s="561" t="s">
        <v>198</v>
      </c>
      <c r="E144" s="462">
        <v>5</v>
      </c>
      <c r="F144" s="463">
        <v>1</v>
      </c>
      <c r="G144" s="573" t="s">
        <v>36</v>
      </c>
      <c r="H144" s="573" t="s">
        <v>36</v>
      </c>
      <c r="I144" s="573" t="s">
        <v>36</v>
      </c>
      <c r="J144" s="773" t="s">
        <v>415</v>
      </c>
      <c r="K144" s="594" t="s">
        <v>36</v>
      </c>
      <c r="L144" s="566">
        <f>(IF(J144="AC Power ",312.23,IF(J144="AC Power &amp; USB",252.97,IF(J144="None",0))))*F144</f>
        <v>252.97</v>
      </c>
      <c r="M144" s="629">
        <f>ROUNDUP(L144*0.4, 0)</f>
        <v>102</v>
      </c>
      <c r="N144" s="659" t="str">
        <f>IF(J144="AC Power ","5PMOWKSMTACPWRXXXXX",IF(J144="AC Power &amp; USB","5PMOWKSMTACUSBXXXXX",IF(J144="None","N/A",)))</f>
        <v>5PMOWKSMTACUSBXXXXX</v>
      </c>
      <c r="O144" s="609"/>
    </row>
    <row r="145" spans="1:15" s="504" customFormat="1" ht="34.5" customHeight="1" thickBot="1" x14ac:dyDescent="0.35">
      <c r="A145" s="516"/>
      <c r="B145" s="517"/>
      <c r="C145" s="775" t="s">
        <v>16</v>
      </c>
      <c r="D145" s="779" t="s">
        <v>20</v>
      </c>
      <c r="E145" s="780" t="s">
        <v>18</v>
      </c>
      <c r="F145" s="781">
        <v>1</v>
      </c>
      <c r="G145" s="782" t="s">
        <v>36</v>
      </c>
      <c r="H145" s="783" t="s">
        <v>36</v>
      </c>
      <c r="I145" s="784" t="s">
        <v>36</v>
      </c>
      <c r="J145" s="785" t="s">
        <v>353</v>
      </c>
      <c r="K145" s="782" t="s">
        <v>29</v>
      </c>
      <c r="L145" s="786">
        <v>560</v>
      </c>
      <c r="M145" s="787">
        <f t="shared" si="2"/>
        <v>336</v>
      </c>
      <c r="N145" s="788" t="s">
        <v>36</v>
      </c>
    </row>
    <row r="146" spans="1:15" s="625" customFormat="1" ht="18" customHeight="1" thickBot="1" x14ac:dyDescent="0.35">
      <c r="A146" s="623"/>
      <c r="B146" s="624"/>
      <c r="C146" s="621" t="s">
        <v>463</v>
      </c>
      <c r="D146" s="621"/>
      <c r="E146" s="474"/>
      <c r="F146" s="474"/>
      <c r="G146" s="621"/>
      <c r="H146" s="621"/>
      <c r="I146" s="621"/>
      <c r="J146" s="626"/>
      <c r="K146" s="475"/>
      <c r="L146" s="650"/>
      <c r="M146" s="650"/>
      <c r="N146" s="473"/>
    </row>
    <row r="147" spans="1:15" s="553" customFormat="1" ht="34.5" customHeight="1" x14ac:dyDescent="0.3">
      <c r="A147" s="556"/>
      <c r="B147" s="557"/>
      <c r="C147" s="552" t="s">
        <v>17</v>
      </c>
      <c r="D147" s="570" t="s">
        <v>340</v>
      </c>
      <c r="E147" s="583">
        <v>5</v>
      </c>
      <c r="F147" s="598">
        <v>1</v>
      </c>
      <c r="G147" s="585" t="s">
        <v>36</v>
      </c>
      <c r="H147" s="585" t="s">
        <v>36</v>
      </c>
      <c r="I147" s="585" t="s">
        <v>36</v>
      </c>
      <c r="J147" s="772" t="s">
        <v>443</v>
      </c>
      <c r="K147" s="592" t="s">
        <v>36</v>
      </c>
      <c r="L147" s="564">
        <f>(IF(J147="Desk Base, AC Power",248.3,IF(J147="Desk Base, USB",445.74,IF(J147="Desk Base, AC and USB Power",273.5,IF(J147="Clamp Base, AC Power",199.28,IF(J147="Clamp Base, USB",240,IF(J147="Clamp Base, AC and USB Power",215.74,IF(J147="None",0))))))))*F147</f>
        <v>248.3</v>
      </c>
      <c r="M147" s="565">
        <f>ROUNDUP(L147*0.6, 0)</f>
        <v>149</v>
      </c>
      <c r="N147" s="579" t="str">
        <f>IF(J147="Desk Base, AC Power","5TLTDSKBAACPWRXXXXX",IF(J147="Desk Base, USB","5TLTDSKBAUSBPWXXXXX",IF(J147="Desk Base, AC and USB Power","5TLTDSKBAACUSBXXXXX",IF(J147="Clamp Base, AC Power","5TLTCLPBAACPWRXXXXX",IF(J147="Clamp Base, USB","5TLTCLPBAUSBPWXXXXX",IF(J147="Clamp Base, AC and USB Power","5TLTCLPBAACUSBXXXXX",IF(J147="None","N/A",)))))))</f>
        <v>5TLTDSKBAACPWRXXXXX</v>
      </c>
    </row>
    <row r="148" spans="1:15" s="553" customFormat="1" ht="34.5" customHeight="1" x14ac:dyDescent="0.3">
      <c r="A148" s="556"/>
      <c r="B148" s="557"/>
      <c r="C148" s="461" t="s">
        <v>46</v>
      </c>
      <c r="D148" s="778" t="s">
        <v>492</v>
      </c>
      <c r="E148" s="462" t="s">
        <v>294</v>
      </c>
      <c r="F148" s="463">
        <v>2</v>
      </c>
      <c r="G148" s="597" t="s">
        <v>57</v>
      </c>
      <c r="H148" s="648">
        <v>30</v>
      </c>
      <c r="I148" s="465" t="s">
        <v>411</v>
      </c>
      <c r="J148" s="792" t="s">
        <v>412</v>
      </c>
      <c r="K148" s="649" t="s">
        <v>30</v>
      </c>
      <c r="L148" s="566">
        <f>IF(AND(J148="C-Leg Worksurface",G148="1067 mm (42 in.)"),1076.44,IF(AND(J148="C-Leg Worksurface",G148="1219 mm (48 in.)"),1105.68,IF(AND(J148="C-Leg Worksurface",G148="1372 mm (54 in.)"),1142.4,IF(AND(J148="C-Leg Worksurface",G148="1524 mm (60 in.)"),1221.96,IF(AND(J148="Post Leg Worksurface",G148="1067 mm (42 in.)"),923.72,IF(AND(J148="Post Leg Worksurface",G148="1219 mm (48 in.)"),979.5,IF(AND(J148="Post Leg Worksurface",G148="1372 mm (54 in.)"),1037.4,IF(AND(J148="Post Leg Worksurface",G148="1524 mm (60 in.)"),1079.72,IF(AND(J148="2 Full Gables Worksurface",G148="1067 mm (42 in.)"),790.4,IF(AND(J148="2 Full Gables Worksurface",G148="1219 mm (48 in.)"),807.3,IF(AND(J148="2 Full Gables Worksurface",G148="1372 mm (54 in.)"),869.7,IF(AND(J148="2 Full Gables Worksurface",G148="1524 mm (60 in.)"),898.3,IF(AND(J148="Panel Hung Worksurface",G148="1067 mm (42 in.)"),517.78,IF(AND(J148="Panel Hung Worksurface",G148="1219 mm (48 in.)"),544.57,IF(AND(J148="Panel Hung Worksurface",G148="1372 mm (54 in.)"),578.22,IF(AND(J148="Panel Hung Worksurface",G148="1524 mm (60 in.)"),651.12))))))))))))))))</f>
        <v>1142.4000000000001</v>
      </c>
      <c r="M148" s="651">
        <f>ROUNDUP(L148*0.2, 0)</f>
        <v>229</v>
      </c>
      <c r="N148" s="652" t="str">
        <f>IF(AND(J148="C-Leg Worksurface",G148="1067 mm (42 in.)"),"1bFFHREC30L42WNOLNY",IF(AND(J148="C-Leg Worksurface",G148="1219 mm (48 in.)"),"1bFFHREC30L48WNOLNY",IF(AND(J148="C-Leg Worksurface",G148="1372 mm (54 in.)"),"1bFFHREC30L54WNOLNY",IF(AND(J148="C-Leg Worksurface",G148="1524 mm (60 in.)"),"1bFFHREC30L60WNOLNY",IF(AND(J148="Post Leg Worksurface",G148="1067 mm (42 in.)"),"1bFFHREL30L42WNOLNY",IF(AND(J148="Post Leg Worksurface",G148="1219 mm (48 in.)"),IF(AND(J148="Post Leg Worksurface",G148="1372 mm (54 in.)"),"1bFFHREL30L54WNOLNY",IF(AND(J148="Post Leg Worksurface",G148="1524 mm (60 in.)"),"1bFFHREL30L60WNOLNY",IF(AND(J148="2 Full Gables Worksurface",G148="1067 mm (42 in.)"),"1bFFHREG30L42WNOLNY",IF(AND(J148="2 Full Gables Worksurface",G148="1219 mm (48 in.)"),IF(AND(J148="2 Full Gables Worksurface",G148="1372 mm (54 in.)"),"1bFFHREG30L54WNOLNY",IF(AND(J148="2 Full Gables Worksurface",G148="1524 mm (60 in.)"),"1bFFHREG30L60WNOLNY",IF(AND(J148="Panel Hung Worksurface",G148="1067 mm (42 in.)"),"1bFFHREN30L42WNOLNY",IF(AND(J148="Panel Hung Worksurface",G148="1219 mm (48 in.)"),"1bFFHREN30L48WNOLNY",IF(AND(J148="Panel Hung Worksurface",G148="1372 mm (54 in.)"),"1bFFHREN30L54WNOLNY",IF(AND(J148="Panel Hung Worksurface",G148="1524 mm (60 in.)"),"1bFFHREN30L60WNOLNY"))))))))))))))))</f>
        <v>1bFFHREC30L54WNOLNY</v>
      </c>
      <c r="O148" s="609"/>
    </row>
    <row r="149" spans="1:15" s="553" customFormat="1" ht="34.5" customHeight="1" thickBot="1" x14ac:dyDescent="0.35">
      <c r="A149" s="556"/>
      <c r="B149" s="557"/>
      <c r="C149" s="572" t="s">
        <v>103</v>
      </c>
      <c r="D149" s="574" t="s">
        <v>417</v>
      </c>
      <c r="E149" s="761">
        <f>IF(J149="Undersurface Mounted Storage Cubbie", "NSA", 6)</f>
        <v>6</v>
      </c>
      <c r="F149" s="599">
        <v>1</v>
      </c>
      <c r="G149" s="607">
        <f>IF(J149="Credenza, Partial Height, Closed Doors (Keyless)",42,IF(J149="Credenza, Partial Height, Combination (Keyless)",42,IF(J149="Credenza, Partial Height, Drawers (Keyless)",42,IF(J149="Credenza, Partial Height, Open Shelving",42,IF(J149="Pedestal (Medium), Mobile (Keyless)",15,IF(J149="Pedestal (Large), Mobile (Keyless)",15,IF(J149="Undersurface Mounted Storage Cubbie","min 7",IF(J149="None","N/A",))))))))</f>
        <v>15</v>
      </c>
      <c r="H149" s="607">
        <f>IF(J149="Credenza, Partial Height, Closed Doors (Keyless)",20,IF(J149="Credenza, Partial Height, Combination (Keyless)",20,IF(J149="Credenza, Partial Height, Drawers (Keyless)",20,IF(J149="Credenza, Partial Height, Open Shelving",20,IF(J149="Pedestal (Medium), Mobile (Keyless)",18,IF(J149="Pedestal (Large), Mobile (Keyless)",24,IF(J149="Undersurface Mounted Storage Cubbie","min 15",IF(J149="None","N/A",))))))))</f>
        <v>18</v>
      </c>
      <c r="I149" s="607" t="str">
        <f>IF(J149="Credenza, Partial Height, Closed Doors (Keyless)","21 to 24",IF(J149="Credenza, Partial Height, Combination (Keyless)","21 to 24",IF(J149="Credenza, Partial Height, Drawers (Keyless)","21 to 24",IF(J149="Credenza, Partial Height, Open Shelving","21 to 24",IF(J149="Pedestal (Medium), Mobile (Keyless)","Varies",IF(J149="Pedestal (Large), Mobile (Keyless)","Varies",IF(J149="Undersurface Mounted Storage Cubbie","min 16",IF(J149="None","N/A",))))))))</f>
        <v>Varies</v>
      </c>
      <c r="J149" s="604" t="s">
        <v>450</v>
      </c>
      <c r="K149" s="605" t="s">
        <v>30</v>
      </c>
      <c r="L149" s="571">
        <f>(IF(AND(J149="Pedestal (Medium), Mobile (Keyless)",K149="Painted Metal"),1024.1,IF(AND(J149="Pedestal (Medium), Mobile (Keyless)",K149="Laminate"),1428.98,IF(AND(J149="Pedestal (Large), Mobile (Keyless)",K149="Painted Metal"),1048.1,IF(AND(J149="Pedestal (Large), Mobile (Keyless)",K149="Laminate"),1486,)))))*F149</f>
        <v>1428.98</v>
      </c>
      <c r="M149" s="466">
        <f>ROUNDUP(L149*0.2, 0)</f>
        <v>286</v>
      </c>
      <c r="N149" s="580" t="str">
        <f>IF(AND(J149="Pedestal (Medium), Mobile (Keyless)",K149="Painted Metal"),"1bSPBMCAA1518XXYSXX",IF(AND(J149="Pedestal (Medium), Mobile (Keyless)",K149="Laminate"),"1bSPBMCAL1518XXYSXX",IF(AND(J149="Pedestal (Large), Mobile (Keyless)",K149="Painted Metal"),"1bSPBMCAA1524XXYSXX",IF(AND(J149="Pedestal (Large), Mobile (Keyless)",K149="Laminate"),"1bSPBMCAL1524XXYSXX",IF(AND(J149="Credenza, Partial Height, Closed Doors (Keyless)",K149="Painted Metal"),"1bCHHAX20L42XDDDDSX",IF(AND(J149="Credenza, Partial Height, Closed Doors (Keyless)",K149="Laminate"),"1bCHHLX20L42XDDDDSX",IF(AND(J149="Credenza, Partial Height, Drawers (Keyless)",K149="Painted Metal"),"1bCHHAX20L42XDDDDSX",IF(AND(J149="Credenza, Partial Height, Drawers (Keyless)",K149="Laminate"),"1bCHHLX20L42XBFBFSX",IF(J149="None","N/A",)))))))))</f>
        <v>1bSPBMCAL1518XXYSXX</v>
      </c>
    </row>
    <row r="150" spans="1:15" ht="18" customHeight="1" x14ac:dyDescent="0.3">
      <c r="A150" s="854" t="s">
        <v>180</v>
      </c>
      <c r="B150" s="249"/>
      <c r="C150" s="527"/>
      <c r="D150" s="527"/>
      <c r="N150" s="318" t="s">
        <v>385</v>
      </c>
    </row>
    <row r="151" spans="1:15" ht="18" customHeight="1" x14ac:dyDescent="0.3">
      <c r="A151" s="855"/>
      <c r="B151" s="249"/>
      <c r="C151" s="527"/>
      <c r="D151" s="527"/>
    </row>
    <row r="152" spans="1:15" ht="18" customHeight="1" x14ac:dyDescent="0.3">
      <c r="A152" s="855"/>
      <c r="B152" s="249"/>
      <c r="C152" s="527"/>
      <c r="D152" s="527"/>
    </row>
    <row r="153" spans="1:15" ht="18" customHeight="1" thickBot="1" x14ac:dyDescent="0.35">
      <c r="A153" s="855"/>
      <c r="B153" s="249"/>
      <c r="C153" s="527"/>
      <c r="D153" s="527"/>
    </row>
    <row r="154" spans="1:15" ht="18" customHeight="1" x14ac:dyDescent="0.45">
      <c r="A154" s="653"/>
      <c r="B154" s="654"/>
      <c r="C154" s="619"/>
      <c r="D154" s="619"/>
      <c r="E154" s="617"/>
      <c r="F154" s="617"/>
      <c r="G154" s="618"/>
      <c r="H154" s="618"/>
      <c r="I154" s="618"/>
      <c r="J154" s="618"/>
      <c r="K154" s="619"/>
      <c r="L154" s="619"/>
      <c r="M154" s="619"/>
      <c r="N154" s="619"/>
    </row>
  </sheetData>
  <sheetProtection sheet="1" objects="1" scenarios="1" selectLockedCells="1"/>
  <mergeCells count="53">
    <mergeCell ref="A53:A56"/>
    <mergeCell ref="I17:I18"/>
    <mergeCell ref="J17:J18"/>
    <mergeCell ref="A2:A8"/>
    <mergeCell ref="I13:I14"/>
    <mergeCell ref="J13:J14"/>
    <mergeCell ref="C15:C16"/>
    <mergeCell ref="G15:G16"/>
    <mergeCell ref="I15:I16"/>
    <mergeCell ref="J15:J16"/>
    <mergeCell ref="C11:C12"/>
    <mergeCell ref="G11:G12"/>
    <mergeCell ref="I11:I12"/>
    <mergeCell ref="J11:J12"/>
    <mergeCell ref="C13:C14"/>
    <mergeCell ref="G13:G14"/>
    <mergeCell ref="H11:H12"/>
    <mergeCell ref="H13:H14"/>
    <mergeCell ref="H15:H16"/>
    <mergeCell ref="H17:H18"/>
    <mergeCell ref="C17:C18"/>
    <mergeCell ref="G17:G18"/>
    <mergeCell ref="A127:A133"/>
    <mergeCell ref="A58:A64"/>
    <mergeCell ref="A75:A78"/>
    <mergeCell ref="A80:A86"/>
    <mergeCell ref="A122:A125"/>
    <mergeCell ref="J89:J90"/>
    <mergeCell ref="C91:C92"/>
    <mergeCell ref="G91:G92"/>
    <mergeCell ref="I91:I92"/>
    <mergeCell ref="J91:J92"/>
    <mergeCell ref="C89:C90"/>
    <mergeCell ref="G89:G90"/>
    <mergeCell ref="I89:I90"/>
    <mergeCell ref="H89:H90"/>
    <mergeCell ref="H91:H92"/>
    <mergeCell ref="J136:J137"/>
    <mergeCell ref="C138:C139"/>
    <mergeCell ref="G138:G139"/>
    <mergeCell ref="I138:I139"/>
    <mergeCell ref="J138:J139"/>
    <mergeCell ref="C136:C137"/>
    <mergeCell ref="G136:G137"/>
    <mergeCell ref="I136:I137"/>
    <mergeCell ref="H136:H137"/>
    <mergeCell ref="H138:H139"/>
    <mergeCell ref="C140:C141"/>
    <mergeCell ref="G140:G141"/>
    <mergeCell ref="I140:I141"/>
    <mergeCell ref="J140:J141"/>
    <mergeCell ref="A150:A153"/>
    <mergeCell ref="H140:H141"/>
  </mergeCells>
  <conditionalFormatting sqref="A1:XFD1 B27:XFD27 A2:J2 L2:XFD2 A28:XFD53 B54:XFD56 B123:XFD125 A3:XFD26 A57:XFD122 A126:XFD139 A142:XFD1048576 A140:K141 M140:XFD141">
    <cfRule type="cellIs" dxfId="33" priority="1" operator="equal">
      <formula>"N/A"</formula>
    </cfRule>
  </conditionalFormatting>
  <hyperlinks>
    <hyperlink ref="N2" location="ToC!A1" display="Return to Table of Contents"/>
    <hyperlink ref="N58" location="ToC!A1" display="Return to Table of Contents"/>
    <hyperlink ref="N80" location="ToC!A1" display="Return to Table of Contents"/>
    <hyperlink ref="N127" location="ToC!A1" display="Return to Table of Contents"/>
  </hyperlinks>
  <pageMargins left="0.5" right="0.5" top="0" bottom="0" header="0.3" footer="0.3"/>
  <pageSetup paperSize="3" fitToWidth="0" fitToHeight="0" orientation="landscape" r:id="rId1"/>
  <ignoredErrors>
    <ignoredError sqref="L90 L137:L138" formula="1"/>
  </ignoredErrors>
  <drawing r:id="rId2"/>
  <extLst>
    <ext xmlns:x14="http://schemas.microsoft.com/office/spreadsheetml/2009/9/main" uri="{CCE6A557-97BC-4b89-ADB6-D9C93CAAB3DF}">
      <x14:dataValidations xmlns:xm="http://schemas.microsoft.com/office/excel/2006/main" disablePrompts="1" count="19">
        <x14:dataValidation type="list" allowBlank="1" showInputMessage="1" showErrorMessage="1">
          <x14:formula1>
            <xm:f>List!$F$3:$F$5</xm:f>
          </x14:formula1>
          <xm:sqref>J11:J18 J89:J92 J136:J141</xm:sqref>
        </x14:dataValidation>
        <x14:dataValidation type="list" allowBlank="1" showInputMessage="1" showErrorMessage="1">
          <x14:formula1>
            <xm:f>List!$H$22:$H$23</xm:f>
          </x14:formula1>
          <xm:sqref>F25:F26 F73:F74 F98:F99 F147</xm:sqref>
        </x14:dataValidation>
        <x14:dataValidation type="list" allowBlank="1" showInputMessage="1" showErrorMessage="1">
          <x14:formula1>
            <xm:f>List!$B$12:$B$13</xm:f>
          </x14:formula1>
          <xm:sqref>K26 K68 K20 K93 K142</xm:sqref>
        </x14:dataValidation>
        <x14:dataValidation type="list" allowBlank="1" showInputMessage="1" showErrorMessage="1">
          <x14:formula1>
            <xm:f>List!$N$19:$N$26</xm:f>
          </x14:formula1>
          <xm:sqref>J26 J74</xm:sqref>
        </x14:dataValidation>
        <x14:dataValidation type="list" allowBlank="1" showInputMessage="1" showErrorMessage="1">
          <x14:formula1>
            <xm:f>List!$L$19:$L$25</xm:f>
          </x14:formula1>
          <xm:sqref>J25 J73 J98 J147</xm:sqref>
        </x14:dataValidation>
        <x14:dataValidation type="list" allowBlank="1" showInputMessage="1" showErrorMessage="1">
          <x14:formula1>
            <xm:f>List!$L$28:$L$30</xm:f>
          </x14:formula1>
          <xm:sqref>J70 J22 J144 J95</xm:sqref>
        </x14:dataValidation>
        <x14:dataValidation type="list" allowBlank="1" showInputMessage="1" showErrorMessage="1">
          <x14:formula1>
            <xm:f>List!$B$16:$B$19</xm:f>
          </x14:formula1>
          <xm:sqref>J19 J148</xm:sqref>
        </x14:dataValidation>
        <x14:dataValidation type="list" allowBlank="1" showInputMessage="1" showErrorMessage="1">
          <x14:formula1>
            <xm:f>List!$N$4:$N$6</xm:f>
          </x14:formula1>
          <xm:sqref>J20 J68 J93 J142</xm:sqref>
        </x14:dataValidation>
        <x14:dataValidation type="list" allowBlank="1" showInputMessage="1" showErrorMessage="1">
          <x14:formula1>
            <xm:f>List!$L$4:$L$8</xm:f>
          </x14:formula1>
          <xm:sqref>J21 J69 J94 J143</xm:sqref>
        </x14:dataValidation>
        <x14:dataValidation type="list" allowBlank="1" showInputMessage="1" showErrorMessage="1">
          <x14:formula1>
            <xm:f>List!$J$4:$J$5</xm:f>
          </x14:formula1>
          <xm:sqref>G19</xm:sqref>
        </x14:dataValidation>
        <x14:dataValidation type="list" allowBlank="1" showInputMessage="1" showErrorMessage="1">
          <x14:formula1>
            <xm:f>List!$B$9:$B$10</xm:f>
          </x14:formula1>
          <xm:sqref>K17 K15 K67 K140</xm:sqref>
        </x14:dataValidation>
        <x14:dataValidation type="list" allowBlank="1" showInputMessage="1" showErrorMessage="1">
          <x14:formula1>
            <xm:f>List!$N$11:$N$15</xm:f>
          </x14:formula1>
          <xm:sqref>G20 G68</xm:sqref>
        </x14:dataValidation>
        <x14:dataValidation type="list" allowBlank="1" showInputMessage="1" showErrorMessage="1">
          <x14:formula1>
            <xm:f>List!$D$4:$D$6</xm:f>
          </x14:formula1>
          <xm:sqref>K16 K14 K12 K18 K92 K90 K137 K139 K141</xm:sqref>
        </x14:dataValidation>
        <x14:dataValidation type="list" allowBlank="1" showInputMessage="1" showErrorMessage="1">
          <x14:formula1>
            <xm:f>List!$B$4:$B$7</xm:f>
          </x14:formula1>
          <xm:sqref>K13 K11 K89 K91 K136 K138</xm:sqref>
        </x14:dataValidation>
        <x14:dataValidation type="list" allowBlank="1" showInputMessage="1" showErrorMessage="1">
          <x14:formula1>
            <xm:f>List!$B$12:$B$14</xm:f>
          </x14:formula1>
          <xm:sqref>K74 K149 K99</xm:sqref>
        </x14:dataValidation>
        <x14:dataValidation type="list" allowBlank="1" showInputMessage="1" showErrorMessage="1">
          <x14:formula1>
            <xm:f>List!$I$7:$I$9</xm:f>
          </x14:formula1>
          <xm:sqref>G93 G142</xm:sqref>
        </x14:dataValidation>
        <x14:dataValidation type="list" allowBlank="1" showInputMessage="1" showErrorMessage="1">
          <x14:formula1>
            <xm:f>List!$N$23:$N$26</xm:f>
          </x14:formula1>
          <xm:sqref>J99 J149</xm:sqref>
        </x14:dataValidation>
        <x14:dataValidation type="list" allowBlank="1" showInputMessage="1" showErrorMessage="1">
          <x14:formula1>
            <xm:f>List!$H$22:$H$23</xm:f>
          </x14:formula1>
          <xm:sqref>F149</xm:sqref>
        </x14:dataValidation>
        <x14:dataValidation type="list" allowBlank="1" showInputMessage="1" showErrorMessage="1">
          <x14:formula1>
            <xm:f>List!$I$6:$I$8</xm:f>
          </x14:formula1>
          <xm:sqref>G148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35"/>
  <sheetViews>
    <sheetView workbookViewId="0">
      <selection activeCell="J14" sqref="J14"/>
    </sheetView>
  </sheetViews>
  <sheetFormatPr defaultRowHeight="14.4" x14ac:dyDescent="0.3"/>
  <cols>
    <col min="2" max="2" width="16.5546875" customWidth="1"/>
    <col min="6" max="6" width="25.88671875" customWidth="1"/>
    <col min="9" max="10" width="14.6640625" bestFit="1" customWidth="1"/>
    <col min="12" max="12" width="32.88671875" customWidth="1"/>
    <col min="14" max="14" width="29" customWidth="1"/>
    <col min="17" max="17" width="21.5546875" customWidth="1"/>
  </cols>
  <sheetData>
    <row r="3" spans="2:19" x14ac:dyDescent="0.3">
      <c r="F3" t="s">
        <v>410</v>
      </c>
      <c r="L3" s="51" t="s">
        <v>421</v>
      </c>
      <c r="N3" s="51" t="s">
        <v>422</v>
      </c>
    </row>
    <row r="4" spans="2:19" x14ac:dyDescent="0.3">
      <c r="B4" t="s">
        <v>29</v>
      </c>
      <c r="D4" t="s">
        <v>29</v>
      </c>
      <c r="F4" t="s">
        <v>423</v>
      </c>
      <c r="H4">
        <v>48</v>
      </c>
      <c r="I4">
        <v>36</v>
      </c>
      <c r="J4" s="514" t="s">
        <v>130</v>
      </c>
      <c r="L4" t="s">
        <v>414</v>
      </c>
      <c r="N4" t="s">
        <v>413</v>
      </c>
      <c r="Q4" s="51" t="s">
        <v>424</v>
      </c>
    </row>
    <row r="5" spans="2:19" x14ac:dyDescent="0.3">
      <c r="B5" t="s">
        <v>425</v>
      </c>
      <c r="D5" t="s">
        <v>30</v>
      </c>
      <c r="F5" t="s">
        <v>407</v>
      </c>
      <c r="H5">
        <v>54</v>
      </c>
      <c r="I5">
        <v>42</v>
      </c>
      <c r="J5" t="s">
        <v>386</v>
      </c>
      <c r="L5" t="s">
        <v>426</v>
      </c>
      <c r="N5" t="s">
        <v>427</v>
      </c>
      <c r="Q5">
        <v>2</v>
      </c>
      <c r="R5">
        <v>2</v>
      </c>
      <c r="S5">
        <v>2</v>
      </c>
    </row>
    <row r="6" spans="2:19" x14ac:dyDescent="0.3">
      <c r="B6" t="s">
        <v>428</v>
      </c>
      <c r="D6" t="s">
        <v>429</v>
      </c>
      <c r="F6" t="s">
        <v>36</v>
      </c>
      <c r="I6" t="s">
        <v>123</v>
      </c>
      <c r="L6" t="s">
        <v>430</v>
      </c>
      <c r="N6" t="s">
        <v>431</v>
      </c>
      <c r="Q6">
        <v>4</v>
      </c>
      <c r="R6">
        <v>4</v>
      </c>
      <c r="S6">
        <v>3</v>
      </c>
    </row>
    <row r="7" spans="2:19" x14ac:dyDescent="0.3">
      <c r="B7" t="s">
        <v>432</v>
      </c>
      <c r="D7" t="s">
        <v>36</v>
      </c>
      <c r="H7">
        <v>24</v>
      </c>
      <c r="I7" t="s">
        <v>40</v>
      </c>
      <c r="L7" t="s">
        <v>433</v>
      </c>
      <c r="Q7">
        <v>6</v>
      </c>
      <c r="R7">
        <v>8</v>
      </c>
      <c r="S7">
        <v>4</v>
      </c>
    </row>
    <row r="8" spans="2:19" x14ac:dyDescent="0.3">
      <c r="H8">
        <v>30</v>
      </c>
      <c r="I8" t="s">
        <v>57</v>
      </c>
      <c r="L8" t="s">
        <v>434</v>
      </c>
      <c r="Q8">
        <v>8</v>
      </c>
    </row>
    <row r="9" spans="2:19" x14ac:dyDescent="0.3">
      <c r="B9" t="s">
        <v>29</v>
      </c>
      <c r="H9">
        <v>36</v>
      </c>
      <c r="I9" t="s">
        <v>199</v>
      </c>
    </row>
    <row r="10" spans="2:19" x14ac:dyDescent="0.3">
      <c r="B10" t="s">
        <v>409</v>
      </c>
      <c r="N10" s="51" t="s">
        <v>422</v>
      </c>
    </row>
    <row r="11" spans="2:19" x14ac:dyDescent="0.3">
      <c r="B11" s="51" t="s">
        <v>435</v>
      </c>
      <c r="I11" s="51"/>
      <c r="N11" s="476" t="s">
        <v>40</v>
      </c>
    </row>
    <row r="12" spans="2:19" x14ac:dyDescent="0.3">
      <c r="B12" t="s">
        <v>30</v>
      </c>
      <c r="H12">
        <v>60</v>
      </c>
      <c r="N12" s="476" t="s">
        <v>57</v>
      </c>
    </row>
    <row r="13" spans="2:19" x14ac:dyDescent="0.3">
      <c r="B13" t="s">
        <v>242</v>
      </c>
      <c r="H13">
        <v>66</v>
      </c>
      <c r="N13" s="476" t="s">
        <v>199</v>
      </c>
    </row>
    <row r="14" spans="2:19" x14ac:dyDescent="0.3">
      <c r="B14" t="s">
        <v>36</v>
      </c>
      <c r="H14">
        <v>72</v>
      </c>
      <c r="L14" t="s">
        <v>436</v>
      </c>
      <c r="N14" s="476" t="s">
        <v>130</v>
      </c>
    </row>
    <row r="15" spans="2:19" x14ac:dyDescent="0.3">
      <c r="B15" t="s">
        <v>437</v>
      </c>
      <c r="L15" t="s">
        <v>438</v>
      </c>
      <c r="N15" s="476" t="s">
        <v>386</v>
      </c>
    </row>
    <row r="16" spans="2:19" x14ac:dyDescent="0.3">
      <c r="B16" t="s">
        <v>412</v>
      </c>
    </row>
    <row r="17" spans="2:14" x14ac:dyDescent="0.3">
      <c r="B17" t="s">
        <v>439</v>
      </c>
    </row>
    <row r="18" spans="2:14" x14ac:dyDescent="0.3">
      <c r="B18" t="s">
        <v>440</v>
      </c>
      <c r="H18">
        <v>2</v>
      </c>
      <c r="L18" s="51" t="s">
        <v>441</v>
      </c>
      <c r="N18" s="51" t="s">
        <v>442</v>
      </c>
    </row>
    <row r="19" spans="2:14" x14ac:dyDescent="0.3">
      <c r="B19" t="s">
        <v>419</v>
      </c>
      <c r="H19">
        <v>4</v>
      </c>
      <c r="L19" s="477" t="s">
        <v>443</v>
      </c>
      <c r="N19" t="s">
        <v>418</v>
      </c>
    </row>
    <row r="20" spans="2:14" x14ac:dyDescent="0.3">
      <c r="L20" s="477" t="s">
        <v>416</v>
      </c>
      <c r="N20" t="s">
        <v>444</v>
      </c>
    </row>
    <row r="21" spans="2:14" x14ac:dyDescent="0.3">
      <c r="B21" s="51"/>
      <c r="H21">
        <v>0.5</v>
      </c>
      <c r="L21" s="477" t="s">
        <v>445</v>
      </c>
      <c r="N21" t="s">
        <v>446</v>
      </c>
    </row>
    <row r="22" spans="2:14" x14ac:dyDescent="0.3">
      <c r="H22">
        <v>1</v>
      </c>
      <c r="L22" s="477" t="s">
        <v>447</v>
      </c>
      <c r="N22" t="s">
        <v>448</v>
      </c>
    </row>
    <row r="23" spans="2:14" x14ac:dyDescent="0.3">
      <c r="H23">
        <v>0</v>
      </c>
      <c r="L23" s="477" t="s">
        <v>449</v>
      </c>
      <c r="N23" t="s">
        <v>450</v>
      </c>
    </row>
    <row r="24" spans="2:14" x14ac:dyDescent="0.3">
      <c r="L24" s="477" t="s">
        <v>451</v>
      </c>
      <c r="N24" t="s">
        <v>452</v>
      </c>
    </row>
    <row r="25" spans="2:14" x14ac:dyDescent="0.3">
      <c r="L25" s="477" t="s">
        <v>434</v>
      </c>
      <c r="N25" t="s">
        <v>453</v>
      </c>
    </row>
    <row r="26" spans="2:14" x14ac:dyDescent="0.3">
      <c r="B26" t="s">
        <v>339</v>
      </c>
      <c r="H26">
        <v>3</v>
      </c>
      <c r="N26" t="s">
        <v>434</v>
      </c>
    </row>
    <row r="27" spans="2:14" x14ac:dyDescent="0.3">
      <c r="B27" t="s">
        <v>454</v>
      </c>
      <c r="H27">
        <v>0</v>
      </c>
      <c r="L27" s="51" t="s">
        <v>455</v>
      </c>
    </row>
    <row r="28" spans="2:14" x14ac:dyDescent="0.3">
      <c r="B28" t="s">
        <v>434</v>
      </c>
      <c r="L28" t="s">
        <v>415</v>
      </c>
    </row>
    <row r="29" spans="2:14" x14ac:dyDescent="0.3">
      <c r="L29" t="s">
        <v>456</v>
      </c>
    </row>
    <row r="30" spans="2:14" x14ac:dyDescent="0.3">
      <c r="B30" t="s">
        <v>457</v>
      </c>
      <c r="L30" t="s">
        <v>434</v>
      </c>
    </row>
    <row r="31" spans="2:14" x14ac:dyDescent="0.3">
      <c r="B31" t="s">
        <v>458</v>
      </c>
    </row>
    <row r="32" spans="2:14" x14ac:dyDescent="0.3">
      <c r="B32" t="s">
        <v>459</v>
      </c>
    </row>
    <row r="33" spans="2:25" x14ac:dyDescent="0.3">
      <c r="H33">
        <v>42</v>
      </c>
      <c r="Y33" t="s">
        <v>460</v>
      </c>
    </row>
    <row r="34" spans="2:25" x14ac:dyDescent="0.3">
      <c r="B34" t="s">
        <v>461</v>
      </c>
      <c r="H34">
        <v>48</v>
      </c>
    </row>
    <row r="35" spans="2:25" x14ac:dyDescent="0.3">
      <c r="B35" t="s">
        <v>462</v>
      </c>
      <c r="H35">
        <v>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EBDA"/>
  </sheetPr>
  <dimension ref="A1:O54"/>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29"/>
      <c r="B1" s="249"/>
      <c r="C1" s="249"/>
      <c r="D1" s="249"/>
      <c r="E1" s="249"/>
    </row>
    <row r="2" spans="1:15" ht="32.4" customHeight="1" x14ac:dyDescent="0.3">
      <c r="A2" s="864" t="s">
        <v>332</v>
      </c>
      <c r="B2" s="249"/>
      <c r="C2" s="250" t="s">
        <v>345</v>
      </c>
      <c r="D2" s="249"/>
      <c r="E2" s="249"/>
      <c r="O2" s="328" t="s">
        <v>34</v>
      </c>
    </row>
    <row r="3" spans="1:15" ht="25.8" customHeight="1" x14ac:dyDescent="0.5">
      <c r="A3" s="865"/>
      <c r="B3" s="249"/>
      <c r="C3" s="251" t="s">
        <v>351</v>
      </c>
      <c r="D3" s="249"/>
      <c r="E3" s="249"/>
    </row>
    <row r="4" spans="1:15" ht="25.8" customHeight="1" x14ac:dyDescent="0.5">
      <c r="A4" s="865"/>
      <c r="B4" s="249"/>
      <c r="C4" s="251" t="str">
        <f>"COST (EST.): "&amp;TEXT(SUM(N10:N11),"$0,000.00")</f>
        <v>COST (EST.): $5,698.00</v>
      </c>
      <c r="D4" s="249"/>
      <c r="E4" s="249"/>
    </row>
    <row r="5" spans="1:15" ht="72" customHeight="1" x14ac:dyDescent="0.3">
      <c r="A5" s="865"/>
      <c r="B5" s="249"/>
      <c r="C5" s="249"/>
      <c r="D5" s="249"/>
      <c r="E5" s="249"/>
    </row>
    <row r="6" spans="1:15" ht="72" customHeight="1" x14ac:dyDescent="0.3">
      <c r="A6" s="865"/>
      <c r="B6" s="249"/>
      <c r="C6" s="249"/>
      <c r="D6" s="249"/>
      <c r="E6" s="249"/>
    </row>
    <row r="7" spans="1:15" ht="72" customHeight="1" x14ac:dyDescent="0.3">
      <c r="A7" s="865"/>
      <c r="B7" s="249"/>
      <c r="C7" s="249"/>
      <c r="D7" s="249"/>
      <c r="E7" s="249"/>
    </row>
    <row r="8" spans="1:15" ht="72" customHeight="1" x14ac:dyDescent="0.3">
      <c r="A8" s="865"/>
      <c r="B8" s="249"/>
      <c r="C8" s="249"/>
      <c r="D8" s="249"/>
      <c r="E8" s="249"/>
    </row>
    <row r="9" spans="1:15" s="4" customFormat="1" ht="18" customHeight="1" x14ac:dyDescent="0.3">
      <c r="A9" s="247"/>
      <c r="B9" s="252"/>
      <c r="C9" s="10" t="s">
        <v>1</v>
      </c>
      <c r="D9" s="5"/>
      <c r="E9" s="254" t="s">
        <v>2</v>
      </c>
      <c r="F9" s="254" t="s">
        <v>3</v>
      </c>
      <c r="G9" s="10" t="s">
        <v>4</v>
      </c>
      <c r="H9" s="10" t="s">
        <v>5</v>
      </c>
      <c r="I9" s="10" t="s">
        <v>6</v>
      </c>
      <c r="J9" s="259" t="s">
        <v>7</v>
      </c>
      <c r="K9" s="262" t="s">
        <v>8</v>
      </c>
      <c r="L9" s="263"/>
      <c r="M9" s="268" t="s">
        <v>283</v>
      </c>
      <c r="N9" s="277" t="s">
        <v>352</v>
      </c>
      <c r="O9" s="10" t="s">
        <v>10</v>
      </c>
    </row>
    <row r="10" spans="1:15" s="8" customFormat="1" ht="34.5" customHeight="1" x14ac:dyDescent="0.3">
      <c r="A10" s="248"/>
      <c r="B10" s="253"/>
      <c r="C10" s="19" t="s">
        <v>13</v>
      </c>
      <c r="D10" s="48" t="s">
        <v>125</v>
      </c>
      <c r="E10" s="255">
        <v>6</v>
      </c>
      <c r="F10" s="256">
        <v>1</v>
      </c>
      <c r="G10" s="37" t="s">
        <v>223</v>
      </c>
      <c r="H10" s="46" t="s">
        <v>40</v>
      </c>
      <c r="I10" s="37" t="s">
        <v>349</v>
      </c>
      <c r="J10" s="260" t="s">
        <v>221</v>
      </c>
      <c r="K10" s="264" t="s">
        <v>30</v>
      </c>
      <c r="L10" s="265"/>
      <c r="M10" s="189">
        <v>3496.48</v>
      </c>
      <c r="N10" s="269">
        <f>ROUNDUP(M10*0.6, 0)</f>
        <v>2098</v>
      </c>
      <c r="O10" s="23" t="s">
        <v>350</v>
      </c>
    </row>
    <row r="11" spans="1:15" s="8" customFormat="1" ht="34.5" customHeight="1" thickBot="1" x14ac:dyDescent="0.35">
      <c r="A11" s="248"/>
      <c r="B11" s="253"/>
      <c r="C11" s="21" t="s">
        <v>14</v>
      </c>
      <c r="D11" s="50" t="s">
        <v>297</v>
      </c>
      <c r="E11" s="257" t="s">
        <v>18</v>
      </c>
      <c r="F11" s="258">
        <v>4</v>
      </c>
      <c r="G11" s="27" t="s">
        <v>36</v>
      </c>
      <c r="H11" s="27" t="s">
        <v>36</v>
      </c>
      <c r="I11" s="27" t="s">
        <v>36</v>
      </c>
      <c r="J11" s="278" t="s">
        <v>353</v>
      </c>
      <c r="K11" s="266" t="s">
        <v>29</v>
      </c>
      <c r="L11" s="267"/>
      <c r="M11" s="190">
        <v>6000</v>
      </c>
      <c r="N11" s="275">
        <f>ROUNDUP(M11*0.6, 0)</f>
        <v>3600</v>
      </c>
      <c r="O11" s="27" t="s">
        <v>36</v>
      </c>
    </row>
    <row r="12" spans="1:15" s="8" customFormat="1" ht="18" customHeight="1" x14ac:dyDescent="0.3">
      <c r="A12" s="248"/>
      <c r="B12" s="253"/>
      <c r="C12" s="253"/>
      <c r="D12" s="253"/>
      <c r="E12" s="253"/>
      <c r="O12" s="318" t="s">
        <v>385</v>
      </c>
    </row>
    <row r="13" spans="1:15" s="8" customFormat="1" ht="18" customHeight="1" x14ac:dyDescent="0.3">
      <c r="A13" s="248"/>
      <c r="B13" s="253"/>
      <c r="C13" s="253"/>
      <c r="D13" s="253"/>
      <c r="E13" s="253"/>
    </row>
    <row r="14" spans="1:15" s="8" customFormat="1" ht="18" customHeight="1" x14ac:dyDescent="0.3">
      <c r="A14" s="248"/>
      <c r="B14" s="253"/>
      <c r="C14" s="253"/>
      <c r="D14" s="253"/>
      <c r="E14" s="253"/>
    </row>
    <row r="15" spans="1:15" s="8" customFormat="1" ht="18" customHeight="1" x14ac:dyDescent="0.3">
      <c r="A15" s="248"/>
      <c r="B15" s="253"/>
      <c r="C15" s="253"/>
      <c r="D15" s="253"/>
      <c r="E15" s="253"/>
    </row>
    <row r="16" spans="1:15" s="8" customFormat="1" ht="18" customHeight="1" x14ac:dyDescent="0.3">
      <c r="A16" s="248"/>
      <c r="B16" s="253"/>
      <c r="C16" s="253"/>
      <c r="D16" s="253"/>
      <c r="E16" s="253"/>
    </row>
    <row r="17" spans="1:15" s="8" customFormat="1" ht="18" customHeight="1" x14ac:dyDescent="0.3">
      <c r="A17" s="248"/>
      <c r="B17" s="253"/>
      <c r="C17" s="253"/>
      <c r="D17" s="253"/>
      <c r="E17" s="253"/>
    </row>
    <row r="18" spans="1:15" s="8" customFormat="1" ht="18" customHeight="1" x14ac:dyDescent="0.3">
      <c r="A18" s="248"/>
      <c r="B18" s="253"/>
      <c r="C18" s="253"/>
      <c r="D18" s="253"/>
      <c r="E18" s="253"/>
    </row>
    <row r="19" spans="1:15" s="8" customFormat="1" ht="18" customHeight="1" x14ac:dyDescent="0.3">
      <c r="A19" s="248"/>
      <c r="B19" s="253"/>
      <c r="C19" s="253"/>
      <c r="D19" s="253"/>
      <c r="E19" s="253"/>
    </row>
    <row r="20" spans="1:15" s="8" customFormat="1" ht="18" customHeight="1" x14ac:dyDescent="0.3">
      <c r="A20" s="248"/>
      <c r="B20" s="253"/>
      <c r="C20" s="253"/>
      <c r="D20" s="253"/>
      <c r="E20" s="253"/>
    </row>
    <row r="21" spans="1:15" s="8" customFormat="1" ht="18" customHeight="1" x14ac:dyDescent="0.3">
      <c r="A21" s="248"/>
      <c r="B21" s="253"/>
      <c r="C21" s="253"/>
      <c r="D21" s="253"/>
      <c r="E21" s="253"/>
    </row>
    <row r="22" spans="1:15" s="8" customFormat="1" ht="18" customHeight="1" x14ac:dyDescent="0.3">
      <c r="A22" s="248"/>
      <c r="B22" s="253"/>
      <c r="C22" s="253"/>
      <c r="D22" s="253"/>
      <c r="E22" s="253"/>
    </row>
    <row r="23" spans="1:15" s="8" customFormat="1" ht="18" customHeight="1" x14ac:dyDescent="0.3">
      <c r="A23" s="248"/>
      <c r="B23" s="253"/>
      <c r="C23" s="253"/>
      <c r="D23" s="253"/>
      <c r="E23" s="253"/>
    </row>
    <row r="24" spans="1:15" s="8" customFormat="1" ht="18" customHeight="1" x14ac:dyDescent="0.3">
      <c r="A24" s="869" t="s">
        <v>0</v>
      </c>
      <c r="B24" s="253"/>
      <c r="C24" s="253"/>
      <c r="D24" s="253"/>
      <c r="E24" s="253"/>
    </row>
    <row r="25" spans="1:15" s="8" customFormat="1" ht="18" customHeight="1" x14ac:dyDescent="0.3">
      <c r="A25" s="869"/>
      <c r="B25" s="253"/>
      <c r="C25" s="253"/>
      <c r="D25" s="253"/>
      <c r="E25" s="253"/>
    </row>
    <row r="26" spans="1:15" s="8" customFormat="1" ht="18" customHeight="1" x14ac:dyDescent="0.3">
      <c r="A26" s="869"/>
      <c r="B26" s="253"/>
      <c r="C26" s="253"/>
      <c r="D26" s="253"/>
      <c r="E26" s="253"/>
    </row>
    <row r="27" spans="1:15" s="8" customFormat="1" ht="18" customHeight="1" thickBot="1" x14ac:dyDescent="0.35">
      <c r="A27" s="869"/>
      <c r="B27" s="253"/>
      <c r="C27" s="253"/>
      <c r="D27" s="253"/>
      <c r="E27" s="253"/>
    </row>
    <row r="28" spans="1:15" ht="35.25" customHeight="1" x14ac:dyDescent="0.3">
      <c r="A28" s="660"/>
      <c r="B28" s="615"/>
      <c r="C28" s="615"/>
      <c r="D28" s="615"/>
      <c r="E28" s="615"/>
      <c r="F28" s="654"/>
      <c r="G28" s="654"/>
      <c r="H28" s="654"/>
      <c r="I28" s="654"/>
      <c r="J28" s="654"/>
      <c r="K28" s="654"/>
      <c r="L28" s="654"/>
      <c r="M28" s="654"/>
      <c r="N28" s="654"/>
      <c r="O28" s="654"/>
    </row>
    <row r="29" spans="1:15" ht="32.4" customHeight="1" x14ac:dyDescent="0.3">
      <c r="A29" s="865" t="s">
        <v>333</v>
      </c>
      <c r="B29" s="249"/>
      <c r="C29" s="250" t="s">
        <v>346</v>
      </c>
      <c r="D29" s="249"/>
      <c r="E29" s="249"/>
      <c r="O29" s="328" t="s">
        <v>34</v>
      </c>
    </row>
    <row r="30" spans="1:15" ht="25.8" customHeight="1" x14ac:dyDescent="0.5">
      <c r="A30" s="865"/>
      <c r="B30" s="249"/>
      <c r="C30" s="251" t="s">
        <v>351</v>
      </c>
      <c r="D30" s="249"/>
      <c r="E30" s="249"/>
    </row>
    <row r="31" spans="1:15" ht="25.8" customHeight="1" x14ac:dyDescent="0.5">
      <c r="A31" s="865"/>
      <c r="B31" s="249"/>
      <c r="C31" s="251" t="str">
        <f>"COST (EST.): "&amp;TEXT(SUM(N37:N39),"$0,000.00")</f>
        <v>COST (EST.): $6,578.00</v>
      </c>
      <c r="D31" s="249"/>
      <c r="E31" s="249"/>
    </row>
    <row r="32" spans="1:15" ht="72" customHeight="1" x14ac:dyDescent="0.3">
      <c r="A32" s="865"/>
      <c r="B32" s="249"/>
      <c r="C32" s="249"/>
      <c r="D32" s="249"/>
      <c r="E32" s="249"/>
    </row>
    <row r="33" spans="1:15" ht="72" customHeight="1" x14ac:dyDescent="0.3">
      <c r="A33" s="865"/>
      <c r="B33" s="249"/>
      <c r="C33" s="249"/>
      <c r="D33" s="249"/>
      <c r="E33" s="249"/>
    </row>
    <row r="34" spans="1:15" ht="72" customHeight="1" x14ac:dyDescent="0.3">
      <c r="A34" s="865"/>
      <c r="B34" s="249"/>
      <c r="C34" s="249"/>
      <c r="D34" s="249"/>
      <c r="E34" s="249"/>
    </row>
    <row r="35" spans="1:15" ht="72" customHeight="1" x14ac:dyDescent="0.3">
      <c r="A35" s="865"/>
      <c r="B35" s="249"/>
      <c r="C35" s="249"/>
      <c r="D35" s="249"/>
      <c r="E35" s="249"/>
    </row>
    <row r="36" spans="1:15" s="4" customFormat="1" ht="18" customHeight="1" x14ac:dyDescent="0.3">
      <c r="A36" s="247"/>
      <c r="B36" s="252"/>
      <c r="C36" s="10" t="s">
        <v>1</v>
      </c>
      <c r="D36" s="5"/>
      <c r="E36" s="254" t="s">
        <v>2</v>
      </c>
      <c r="F36" s="254" t="s">
        <v>3</v>
      </c>
      <c r="G36" s="10" t="s">
        <v>4</v>
      </c>
      <c r="H36" s="10" t="s">
        <v>5</v>
      </c>
      <c r="I36" s="10" t="s">
        <v>6</v>
      </c>
      <c r="J36" s="259" t="s">
        <v>7</v>
      </c>
      <c r="K36" s="10" t="s">
        <v>8</v>
      </c>
      <c r="L36" s="5"/>
      <c r="M36" s="259" t="s">
        <v>283</v>
      </c>
      <c r="N36" s="277" t="s">
        <v>352</v>
      </c>
      <c r="O36" s="10" t="s">
        <v>10</v>
      </c>
    </row>
    <row r="37" spans="1:15" s="8" customFormat="1" ht="34.5" customHeight="1" x14ac:dyDescent="0.3">
      <c r="A37" s="248"/>
      <c r="B37" s="253"/>
      <c r="C37" s="19" t="s">
        <v>13</v>
      </c>
      <c r="D37" s="94" t="s">
        <v>24</v>
      </c>
      <c r="E37" s="255">
        <v>6</v>
      </c>
      <c r="F37" s="256">
        <v>1</v>
      </c>
      <c r="G37" s="37" t="s">
        <v>481</v>
      </c>
      <c r="H37" s="46" t="s">
        <v>57</v>
      </c>
      <c r="I37" s="46" t="s">
        <v>42</v>
      </c>
      <c r="J37" s="272" t="s">
        <v>221</v>
      </c>
      <c r="K37" s="41" t="s">
        <v>30</v>
      </c>
      <c r="L37" s="41"/>
      <c r="M37" s="273">
        <v>5510</v>
      </c>
      <c r="N37" s="269">
        <f>ROUNDUP(M37*0.6, 0)</f>
        <v>3306</v>
      </c>
      <c r="O37" s="23" t="s">
        <v>348</v>
      </c>
    </row>
    <row r="38" spans="1:15" s="8" customFormat="1" ht="34.5" customHeight="1" x14ac:dyDescent="0.3">
      <c r="A38" s="248"/>
      <c r="B38" s="253"/>
      <c r="C38" s="20" t="s">
        <v>14</v>
      </c>
      <c r="D38" s="125" t="s">
        <v>347</v>
      </c>
      <c r="E38" s="678" t="s">
        <v>19</v>
      </c>
      <c r="F38" s="271">
        <v>2</v>
      </c>
      <c r="G38" s="25" t="s">
        <v>36</v>
      </c>
      <c r="H38" s="25" t="s">
        <v>36</v>
      </c>
      <c r="I38" s="25" t="s">
        <v>36</v>
      </c>
      <c r="J38" s="326" t="s">
        <v>36</v>
      </c>
      <c r="K38" s="43" t="s">
        <v>29</v>
      </c>
      <c r="L38" s="43"/>
      <c r="M38" s="274">
        <v>3400</v>
      </c>
      <c r="N38" s="327">
        <f>ROUNDUP(M38*0.6, 0)</f>
        <v>2040</v>
      </c>
      <c r="O38" s="25" t="s">
        <v>36</v>
      </c>
    </row>
    <row r="39" spans="1:15" s="8" customFormat="1" ht="34.5" customHeight="1" thickBot="1" x14ac:dyDescent="0.35">
      <c r="A39" s="248"/>
      <c r="B39" s="253"/>
      <c r="C39" s="21" t="s">
        <v>15</v>
      </c>
      <c r="D39" s="319" t="s">
        <v>69</v>
      </c>
      <c r="E39" s="320" t="s">
        <v>18</v>
      </c>
      <c r="F39" s="321">
        <v>6</v>
      </c>
      <c r="G39" s="211" t="s">
        <v>36</v>
      </c>
      <c r="H39" s="211" t="s">
        <v>36</v>
      </c>
      <c r="I39" s="211" t="s">
        <v>36</v>
      </c>
      <c r="J39" s="322" t="s">
        <v>70</v>
      </c>
      <c r="K39" s="323" t="s">
        <v>29</v>
      </c>
      <c r="L39" s="323"/>
      <c r="M39" s="324">
        <v>2052</v>
      </c>
      <c r="N39" s="325">
        <f>ROUNDUP(M39*0.6, 0)</f>
        <v>1232</v>
      </c>
      <c r="O39" s="211" t="s">
        <v>287</v>
      </c>
    </row>
    <row r="40" spans="1:15" s="8" customFormat="1" ht="18" customHeight="1" x14ac:dyDescent="0.3">
      <c r="A40" s="248"/>
      <c r="B40" s="253"/>
      <c r="C40" s="253"/>
      <c r="D40" s="253"/>
      <c r="E40" s="253"/>
      <c r="O40" s="318" t="s">
        <v>385</v>
      </c>
    </row>
    <row r="41" spans="1:15" s="8" customFormat="1" ht="18" customHeight="1" x14ac:dyDescent="0.3">
      <c r="A41" s="248"/>
      <c r="B41" s="253"/>
      <c r="C41" s="253"/>
      <c r="D41" s="253"/>
      <c r="E41" s="253"/>
    </row>
    <row r="42" spans="1:15" s="8" customFormat="1" ht="18" customHeight="1" x14ac:dyDescent="0.3">
      <c r="A42" s="248"/>
      <c r="B42" s="253"/>
      <c r="C42" s="253"/>
      <c r="D42" s="253"/>
      <c r="E42" s="253"/>
    </row>
    <row r="43" spans="1:15" s="8" customFormat="1" ht="18" customHeight="1" x14ac:dyDescent="0.3">
      <c r="A43" s="248"/>
      <c r="B43" s="253"/>
      <c r="C43" s="253"/>
      <c r="D43" s="253"/>
      <c r="E43" s="253"/>
    </row>
    <row r="44" spans="1:15" s="8" customFormat="1" ht="18" customHeight="1" x14ac:dyDescent="0.3">
      <c r="A44" s="248"/>
      <c r="B44" s="253"/>
      <c r="C44" s="253"/>
      <c r="D44" s="253"/>
      <c r="E44" s="253"/>
    </row>
    <row r="45" spans="1:15" s="8" customFormat="1" ht="18" customHeight="1" x14ac:dyDescent="0.3">
      <c r="A45" s="248"/>
      <c r="B45" s="253"/>
      <c r="C45" s="253"/>
      <c r="D45" s="253"/>
      <c r="E45" s="253"/>
    </row>
    <row r="46" spans="1:15" s="8" customFormat="1" ht="18" customHeight="1" x14ac:dyDescent="0.3">
      <c r="A46" s="248"/>
      <c r="B46" s="253"/>
      <c r="C46" s="253"/>
      <c r="D46" s="253"/>
      <c r="E46" s="253"/>
    </row>
    <row r="47" spans="1:15" s="8" customFormat="1" ht="18" customHeight="1" x14ac:dyDescent="0.3">
      <c r="A47" s="248"/>
      <c r="B47" s="253"/>
      <c r="C47" s="253"/>
      <c r="D47" s="253"/>
      <c r="E47" s="253"/>
    </row>
    <row r="48" spans="1:15" s="8" customFormat="1" ht="18" customHeight="1" x14ac:dyDescent="0.3">
      <c r="A48" s="248"/>
      <c r="B48" s="253"/>
      <c r="C48" s="253"/>
      <c r="D48" s="253"/>
      <c r="E48" s="253"/>
    </row>
    <row r="49" spans="1:15" s="8" customFormat="1" ht="18" customHeight="1" x14ac:dyDescent="0.3">
      <c r="A49" s="276"/>
      <c r="B49" s="253"/>
      <c r="C49" s="253"/>
      <c r="D49" s="253"/>
      <c r="E49" s="253"/>
    </row>
    <row r="50" spans="1:15" s="8" customFormat="1" ht="18" customHeight="1" x14ac:dyDescent="0.3">
      <c r="A50" s="869" t="s">
        <v>32</v>
      </c>
      <c r="B50" s="253"/>
      <c r="C50" s="253"/>
      <c r="D50" s="253"/>
      <c r="E50" s="253"/>
    </row>
    <row r="51" spans="1:15" s="8" customFormat="1" ht="18" customHeight="1" x14ac:dyDescent="0.3">
      <c r="A51" s="869"/>
      <c r="B51" s="253"/>
      <c r="C51" s="253"/>
      <c r="D51" s="253"/>
      <c r="E51" s="253"/>
    </row>
    <row r="52" spans="1:15" s="8" customFormat="1" ht="18" customHeight="1" x14ac:dyDescent="0.3">
      <c r="A52" s="869"/>
      <c r="B52" s="253"/>
      <c r="C52" s="253"/>
      <c r="D52" s="253"/>
      <c r="E52" s="253"/>
    </row>
    <row r="53" spans="1:15" s="8" customFormat="1" ht="18" customHeight="1" thickBot="1" x14ac:dyDescent="0.35">
      <c r="A53" s="869"/>
      <c r="B53" s="253"/>
      <c r="C53" s="253"/>
      <c r="D53" s="253"/>
      <c r="E53" s="253"/>
    </row>
    <row r="54" spans="1:15" ht="18" customHeight="1" x14ac:dyDescent="0.3">
      <c r="A54" s="654"/>
      <c r="B54" s="654"/>
      <c r="C54" s="654"/>
      <c r="D54" s="654"/>
      <c r="E54" s="654"/>
      <c r="F54" s="654"/>
      <c r="G54" s="654"/>
      <c r="H54" s="654"/>
      <c r="I54" s="654"/>
      <c r="J54" s="654"/>
      <c r="K54" s="654"/>
      <c r="L54" s="654"/>
      <c r="M54" s="654"/>
      <c r="N54" s="654"/>
      <c r="O54" s="654"/>
    </row>
  </sheetData>
  <sheetProtection sheet="1" objects="1" scenarios="1" selectLockedCells="1"/>
  <mergeCells count="4">
    <mergeCell ref="A2:A8"/>
    <mergeCell ref="A24:A27"/>
    <mergeCell ref="A29:A35"/>
    <mergeCell ref="A50:A53"/>
  </mergeCells>
  <conditionalFormatting sqref="A1:XFD1048576">
    <cfRule type="cellIs" dxfId="32" priority="1" operator="equal">
      <formula>"N/A"</formula>
    </cfRule>
  </conditionalFormatting>
  <hyperlinks>
    <hyperlink ref="O2" location="ToC!A1" display="Return to Table of Contents"/>
    <hyperlink ref="O29" location="ToC!A1" display="Return to Table of Contents"/>
  </hyperlinks>
  <printOptions verticalCentered="1"/>
  <pageMargins left="0.5" right="0.5" top="0" bottom="0" header="0.3" footer="0.3"/>
  <pageSetup paperSize="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EBDA"/>
  </sheetPr>
  <dimension ref="A1:O54"/>
  <sheetViews>
    <sheetView showGridLines="0" zoomScaleNormal="100" zoomScalePageLayoutView="85" workbookViewId="0"/>
  </sheetViews>
  <sheetFormatPr defaultColWidth="8.88671875" defaultRowHeight="18" customHeight="1" x14ac:dyDescent="0.3"/>
  <cols>
    <col min="1" max="1" width="5.77734375"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29"/>
      <c r="B1" s="249"/>
      <c r="C1" s="249"/>
      <c r="D1" s="249"/>
      <c r="E1" s="249"/>
    </row>
    <row r="2" spans="1:15" ht="32.4" customHeight="1" x14ac:dyDescent="0.3">
      <c r="A2" s="864" t="s">
        <v>332</v>
      </c>
      <c r="B2" s="249"/>
      <c r="C2" s="250" t="s">
        <v>334</v>
      </c>
      <c r="D2" s="249"/>
      <c r="E2" s="249"/>
      <c r="O2" s="328" t="s">
        <v>34</v>
      </c>
    </row>
    <row r="3" spans="1:15" ht="25.8" customHeight="1" x14ac:dyDescent="0.5">
      <c r="A3" s="865"/>
      <c r="B3" s="249"/>
      <c r="C3" s="251" t="s">
        <v>357</v>
      </c>
      <c r="D3" s="249"/>
      <c r="E3" s="249"/>
    </row>
    <row r="4" spans="1:15" ht="25.8" customHeight="1" x14ac:dyDescent="0.5">
      <c r="A4" s="865"/>
      <c r="B4" s="249"/>
      <c r="C4" s="251" t="str">
        <f>"COST (EST.): "&amp;TEXT(SUM(N10:N11),"$0,000.00")</f>
        <v>COST (EST.): $2,418.00</v>
      </c>
      <c r="D4" s="249"/>
      <c r="E4" s="249"/>
    </row>
    <row r="5" spans="1:15" ht="72" customHeight="1" x14ac:dyDescent="0.3">
      <c r="A5" s="865"/>
      <c r="B5" s="249"/>
      <c r="C5" s="249"/>
      <c r="D5" s="249"/>
      <c r="E5" s="249"/>
    </row>
    <row r="6" spans="1:15" ht="72" customHeight="1" x14ac:dyDescent="0.3">
      <c r="A6" s="865"/>
      <c r="B6" s="249"/>
      <c r="C6" s="249"/>
      <c r="D6" s="249"/>
      <c r="E6" s="249"/>
    </row>
    <row r="7" spans="1:15" ht="72" customHeight="1" x14ac:dyDescent="0.3">
      <c r="A7" s="865"/>
      <c r="B7" s="249"/>
      <c r="C7" s="249"/>
      <c r="D7" s="249"/>
      <c r="E7" s="249"/>
    </row>
    <row r="8" spans="1:15" ht="72" customHeight="1" x14ac:dyDescent="0.3">
      <c r="A8" s="865"/>
      <c r="B8" s="249"/>
      <c r="C8" s="249"/>
      <c r="D8" s="249"/>
      <c r="E8" s="249"/>
    </row>
    <row r="9" spans="1:15" s="4" customFormat="1" ht="18" customHeight="1" x14ac:dyDescent="0.3">
      <c r="A9" s="247"/>
      <c r="B9" s="252"/>
      <c r="C9" s="10" t="s">
        <v>1</v>
      </c>
      <c r="D9" s="5"/>
      <c r="E9" s="254" t="s">
        <v>2</v>
      </c>
      <c r="F9" s="254" t="s">
        <v>3</v>
      </c>
      <c r="G9" s="10" t="s">
        <v>4</v>
      </c>
      <c r="H9" s="10" t="s">
        <v>5</v>
      </c>
      <c r="I9" s="10" t="s">
        <v>6</v>
      </c>
      <c r="J9" s="259" t="s">
        <v>7</v>
      </c>
      <c r="K9" s="262" t="s">
        <v>8</v>
      </c>
      <c r="L9" s="263"/>
      <c r="M9" s="268" t="s">
        <v>283</v>
      </c>
      <c r="N9" s="259" t="s">
        <v>352</v>
      </c>
      <c r="O9" s="10" t="s">
        <v>10</v>
      </c>
    </row>
    <row r="10" spans="1:15" s="8" customFormat="1" ht="34.5" customHeight="1" x14ac:dyDescent="0.3">
      <c r="A10" s="248"/>
      <c r="B10" s="253"/>
      <c r="C10" s="19" t="s">
        <v>13</v>
      </c>
      <c r="D10" s="48" t="s">
        <v>336</v>
      </c>
      <c r="E10" s="255">
        <v>6</v>
      </c>
      <c r="F10" s="256">
        <v>1</v>
      </c>
      <c r="G10" s="37" t="s">
        <v>337</v>
      </c>
      <c r="H10" s="46" t="s">
        <v>337</v>
      </c>
      <c r="I10" s="37" t="s">
        <v>338</v>
      </c>
      <c r="J10" s="260" t="s">
        <v>222</v>
      </c>
      <c r="K10" s="264" t="s">
        <v>115</v>
      </c>
      <c r="L10" s="265"/>
      <c r="M10" s="189">
        <v>3781.5</v>
      </c>
      <c r="N10" s="269">
        <f>ROUNDUP(M10*0.6, 0)</f>
        <v>2269</v>
      </c>
      <c r="O10" s="23" t="s">
        <v>290</v>
      </c>
    </row>
    <row r="11" spans="1:15" s="8" customFormat="1" ht="34.5" customHeight="1" thickBot="1" x14ac:dyDescent="0.35">
      <c r="A11" s="248"/>
      <c r="B11" s="253"/>
      <c r="C11" s="21" t="s">
        <v>14</v>
      </c>
      <c r="D11" s="50" t="s">
        <v>340</v>
      </c>
      <c r="E11" s="257">
        <v>5</v>
      </c>
      <c r="F11" s="258">
        <v>1</v>
      </c>
      <c r="G11" s="27" t="s">
        <v>36</v>
      </c>
      <c r="H11" s="27" t="s">
        <v>36</v>
      </c>
      <c r="I11" s="27" t="s">
        <v>36</v>
      </c>
      <c r="J11" s="261" t="s">
        <v>339</v>
      </c>
      <c r="K11" s="266" t="s">
        <v>36</v>
      </c>
      <c r="L11" s="267"/>
      <c r="M11" s="190">
        <v>248.3</v>
      </c>
      <c r="N11" s="270">
        <f>ROUNDUP(M11*0.6, 0)</f>
        <v>149</v>
      </c>
      <c r="O11" s="27" t="s">
        <v>343</v>
      </c>
    </row>
    <row r="12" spans="1:15" s="8" customFormat="1" ht="18" customHeight="1" x14ac:dyDescent="0.3">
      <c r="A12" s="248"/>
      <c r="B12" s="253"/>
      <c r="C12" s="253"/>
      <c r="D12" s="253"/>
      <c r="E12" s="253"/>
      <c r="O12" s="318" t="s">
        <v>385</v>
      </c>
    </row>
    <row r="13" spans="1:15" s="8" customFormat="1" ht="18" customHeight="1" x14ac:dyDescent="0.3">
      <c r="A13" s="248"/>
      <c r="B13" s="253"/>
      <c r="C13" s="253"/>
      <c r="D13" s="253"/>
      <c r="E13" s="253"/>
      <c r="O13" s="341"/>
    </row>
    <row r="14" spans="1:15" s="8" customFormat="1" ht="18" customHeight="1" x14ac:dyDescent="0.3">
      <c r="A14" s="248"/>
      <c r="B14" s="253"/>
      <c r="C14" s="253"/>
      <c r="D14" s="253"/>
      <c r="E14" s="253"/>
    </row>
    <row r="15" spans="1:15" s="8" customFormat="1" ht="18" customHeight="1" x14ac:dyDescent="0.3">
      <c r="A15" s="248"/>
      <c r="B15" s="253"/>
      <c r="C15" s="253"/>
      <c r="D15" s="253"/>
      <c r="E15" s="253"/>
    </row>
    <row r="16" spans="1:15" s="8" customFormat="1" ht="18" customHeight="1" x14ac:dyDescent="0.3">
      <c r="A16" s="248"/>
      <c r="B16" s="253"/>
      <c r="C16" s="253"/>
      <c r="D16" s="253"/>
      <c r="E16" s="253"/>
    </row>
    <row r="17" spans="1:15" s="8" customFormat="1" ht="18" customHeight="1" x14ac:dyDescent="0.3">
      <c r="A17" s="248"/>
      <c r="B17" s="253"/>
      <c r="C17" s="253"/>
      <c r="D17" s="253"/>
      <c r="E17" s="253"/>
    </row>
    <row r="18" spans="1:15" s="8" customFormat="1" ht="18" customHeight="1" x14ac:dyDescent="0.3">
      <c r="A18" s="248"/>
      <c r="B18" s="253"/>
      <c r="C18" s="253"/>
      <c r="D18" s="253"/>
      <c r="E18" s="253"/>
    </row>
    <row r="19" spans="1:15" s="8" customFormat="1" ht="18" customHeight="1" x14ac:dyDescent="0.3">
      <c r="A19" s="248"/>
      <c r="B19" s="253"/>
      <c r="C19" s="253"/>
      <c r="D19" s="253"/>
      <c r="E19" s="253"/>
    </row>
    <row r="20" spans="1:15" s="8" customFormat="1" ht="18" customHeight="1" x14ac:dyDescent="0.3">
      <c r="A20" s="248"/>
      <c r="B20" s="253"/>
      <c r="C20" s="253"/>
      <c r="D20" s="253"/>
      <c r="E20" s="253"/>
    </row>
    <row r="21" spans="1:15" s="8" customFormat="1" ht="18" customHeight="1" x14ac:dyDescent="0.3">
      <c r="A21" s="248"/>
      <c r="B21" s="253"/>
      <c r="C21" s="253"/>
      <c r="D21" s="253"/>
      <c r="E21" s="253"/>
    </row>
    <row r="22" spans="1:15" s="8" customFormat="1" ht="18" customHeight="1" x14ac:dyDescent="0.3">
      <c r="A22" s="248"/>
      <c r="B22" s="253"/>
      <c r="C22" s="253"/>
      <c r="D22" s="253"/>
      <c r="E22" s="253"/>
    </row>
    <row r="23" spans="1:15" s="8" customFormat="1" ht="18" customHeight="1" x14ac:dyDescent="0.3">
      <c r="A23" s="248"/>
      <c r="B23" s="253"/>
      <c r="C23" s="253"/>
      <c r="D23" s="253"/>
      <c r="E23" s="253"/>
    </row>
    <row r="24" spans="1:15" s="8" customFormat="1" ht="18" customHeight="1" x14ac:dyDescent="0.3">
      <c r="A24" s="869" t="s">
        <v>0</v>
      </c>
      <c r="B24" s="253"/>
      <c r="C24" s="253"/>
      <c r="D24" s="253"/>
      <c r="E24" s="253"/>
    </row>
    <row r="25" spans="1:15" s="8" customFormat="1" ht="18" customHeight="1" x14ac:dyDescent="0.3">
      <c r="A25" s="869"/>
      <c r="B25" s="253"/>
      <c r="C25" s="253"/>
      <c r="D25" s="253"/>
      <c r="E25" s="253"/>
    </row>
    <row r="26" spans="1:15" s="8" customFormat="1" ht="18" customHeight="1" x14ac:dyDescent="0.3">
      <c r="A26" s="869"/>
      <c r="B26" s="253"/>
      <c r="C26" s="253"/>
      <c r="D26" s="253"/>
      <c r="E26" s="253"/>
    </row>
    <row r="27" spans="1:15" s="8" customFormat="1" ht="18" customHeight="1" thickBot="1" x14ac:dyDescent="0.35">
      <c r="A27" s="869"/>
      <c r="B27" s="253"/>
      <c r="C27" s="253"/>
      <c r="D27" s="253"/>
      <c r="E27" s="253"/>
    </row>
    <row r="28" spans="1:15" ht="35.25" customHeight="1" x14ac:dyDescent="0.3">
      <c r="A28" s="660"/>
      <c r="B28" s="615"/>
      <c r="C28" s="615"/>
      <c r="D28" s="615"/>
      <c r="E28" s="615"/>
      <c r="F28" s="654"/>
      <c r="G28" s="654"/>
      <c r="H28" s="654"/>
      <c r="I28" s="654"/>
      <c r="J28" s="654"/>
      <c r="K28" s="654"/>
      <c r="L28" s="654"/>
      <c r="M28" s="654"/>
      <c r="N28" s="654"/>
      <c r="O28" s="654"/>
    </row>
    <row r="29" spans="1:15" ht="32.4" customHeight="1" x14ac:dyDescent="0.3">
      <c r="A29" s="865" t="s">
        <v>333</v>
      </c>
      <c r="B29" s="249"/>
      <c r="C29" s="250" t="s">
        <v>335</v>
      </c>
      <c r="D29" s="249"/>
      <c r="E29" s="249"/>
      <c r="O29" s="328" t="s">
        <v>34</v>
      </c>
    </row>
    <row r="30" spans="1:15" ht="25.8" customHeight="1" x14ac:dyDescent="0.5">
      <c r="A30" s="865"/>
      <c r="B30" s="249"/>
      <c r="C30" s="251" t="s">
        <v>357</v>
      </c>
      <c r="D30" s="249"/>
      <c r="E30" s="249"/>
    </row>
    <row r="31" spans="1:15" ht="25.8" customHeight="1" x14ac:dyDescent="0.5">
      <c r="A31" s="865"/>
      <c r="B31" s="249"/>
      <c r="C31" s="251" t="str">
        <f>"COST (EST.): "&amp;TEXT(SUM(N37:N39),"$0,000.00")</f>
        <v>COST (EST.): $4,947.00</v>
      </c>
      <c r="D31" s="249"/>
      <c r="E31" s="249"/>
    </row>
    <row r="32" spans="1:15" ht="72" customHeight="1" x14ac:dyDescent="0.3">
      <c r="A32" s="865"/>
      <c r="B32" s="249"/>
      <c r="C32" s="249"/>
      <c r="D32" s="249"/>
      <c r="E32" s="249"/>
    </row>
    <row r="33" spans="1:15" ht="72" customHeight="1" x14ac:dyDescent="0.3">
      <c r="A33" s="865"/>
      <c r="B33" s="249"/>
      <c r="C33" s="249"/>
      <c r="D33" s="249"/>
      <c r="E33" s="249"/>
    </row>
    <row r="34" spans="1:15" ht="72" customHeight="1" x14ac:dyDescent="0.3">
      <c r="A34" s="865"/>
      <c r="B34" s="249"/>
      <c r="C34" s="249"/>
      <c r="D34" s="249"/>
      <c r="E34" s="249"/>
    </row>
    <row r="35" spans="1:15" ht="72" customHeight="1" x14ac:dyDescent="0.3">
      <c r="A35" s="865"/>
      <c r="B35" s="249"/>
      <c r="C35" s="249"/>
      <c r="D35" s="249"/>
      <c r="E35" s="249"/>
    </row>
    <row r="36" spans="1:15" s="4" customFormat="1" ht="18" customHeight="1" x14ac:dyDescent="0.3">
      <c r="A36" s="247"/>
      <c r="B36" s="252"/>
      <c r="C36" s="10" t="s">
        <v>1</v>
      </c>
      <c r="D36" s="5"/>
      <c r="E36" s="254" t="s">
        <v>2</v>
      </c>
      <c r="F36" s="254" t="s">
        <v>3</v>
      </c>
      <c r="G36" s="10" t="s">
        <v>4</v>
      </c>
      <c r="H36" s="10" t="s">
        <v>5</v>
      </c>
      <c r="I36" s="10" t="s">
        <v>6</v>
      </c>
      <c r="J36" s="259" t="s">
        <v>7</v>
      </c>
      <c r="K36" s="10" t="s">
        <v>8</v>
      </c>
      <c r="L36" s="5"/>
      <c r="M36" s="259" t="s">
        <v>283</v>
      </c>
      <c r="N36" s="259" t="s">
        <v>352</v>
      </c>
      <c r="O36" s="10" t="s">
        <v>10</v>
      </c>
    </row>
    <row r="37" spans="1:15" s="8" customFormat="1" ht="34.5" customHeight="1" x14ac:dyDescent="0.3">
      <c r="A37" s="248"/>
      <c r="B37" s="253"/>
      <c r="C37" s="19" t="s">
        <v>13</v>
      </c>
      <c r="D37" s="94" t="s">
        <v>341</v>
      </c>
      <c r="E37" s="255">
        <v>6</v>
      </c>
      <c r="F37" s="256">
        <v>1</v>
      </c>
      <c r="G37" s="46" t="s">
        <v>386</v>
      </c>
      <c r="H37" s="46" t="s">
        <v>386</v>
      </c>
      <c r="I37" s="46" t="s">
        <v>387</v>
      </c>
      <c r="J37" s="272" t="s">
        <v>342</v>
      </c>
      <c r="K37" s="41" t="s">
        <v>115</v>
      </c>
      <c r="L37" s="41"/>
      <c r="M37" s="273">
        <v>11154</v>
      </c>
      <c r="N37" s="269">
        <f>ROUNDUP(M37*0.4, 0)</f>
        <v>4462</v>
      </c>
      <c r="O37" s="23" t="s">
        <v>344</v>
      </c>
    </row>
    <row r="38" spans="1:15" s="8" customFormat="1" ht="34.5" customHeight="1" x14ac:dyDescent="0.3">
      <c r="A38" s="248"/>
      <c r="B38" s="253"/>
      <c r="C38" s="39" t="s">
        <v>14</v>
      </c>
      <c r="D38" s="330" t="s">
        <v>20</v>
      </c>
      <c r="E38" s="331" t="s">
        <v>18</v>
      </c>
      <c r="F38" s="332">
        <v>1</v>
      </c>
      <c r="G38" s="40" t="s">
        <v>36</v>
      </c>
      <c r="H38" s="40" t="s">
        <v>36</v>
      </c>
      <c r="I38" s="40" t="s">
        <v>36</v>
      </c>
      <c r="J38" s="333" t="s">
        <v>353</v>
      </c>
      <c r="K38" s="44" t="s">
        <v>29</v>
      </c>
      <c r="L38" s="44"/>
      <c r="M38" s="334">
        <v>560</v>
      </c>
      <c r="N38" s="335">
        <f>ROUNDUP(M38*0.6, 0)</f>
        <v>336</v>
      </c>
      <c r="O38" s="40" t="s">
        <v>282</v>
      </c>
    </row>
    <row r="39" spans="1:15" s="8" customFormat="1" ht="34.5" customHeight="1" thickBot="1" x14ac:dyDescent="0.35">
      <c r="A39" s="248"/>
      <c r="B39" s="253"/>
      <c r="C39" s="239" t="s">
        <v>15</v>
      </c>
      <c r="D39" s="240" t="s">
        <v>340</v>
      </c>
      <c r="E39" s="336">
        <v>5</v>
      </c>
      <c r="F39" s="337">
        <v>1</v>
      </c>
      <c r="G39" s="244" t="s">
        <v>36</v>
      </c>
      <c r="H39" s="244" t="s">
        <v>36</v>
      </c>
      <c r="I39" s="243" t="s">
        <v>36</v>
      </c>
      <c r="J39" s="338" t="s">
        <v>339</v>
      </c>
      <c r="K39" s="339" t="s">
        <v>36</v>
      </c>
      <c r="L39" s="339"/>
      <c r="M39" s="340">
        <v>248.3</v>
      </c>
      <c r="N39" s="275">
        <f>ROUNDUP(M39*0.6, 0)</f>
        <v>149</v>
      </c>
      <c r="O39" s="244" t="s">
        <v>343</v>
      </c>
    </row>
    <row r="40" spans="1:15" s="8" customFormat="1" ht="18" customHeight="1" x14ac:dyDescent="0.3">
      <c r="A40" s="248"/>
      <c r="B40" s="253"/>
      <c r="C40" s="253"/>
      <c r="D40" s="253"/>
      <c r="E40" s="253"/>
      <c r="O40" s="318" t="s">
        <v>385</v>
      </c>
    </row>
    <row r="41" spans="1:15" s="8" customFormat="1" ht="18" customHeight="1" x14ac:dyDescent="0.3">
      <c r="A41" s="248"/>
      <c r="B41" s="253"/>
      <c r="C41" s="253"/>
      <c r="D41" s="253"/>
      <c r="E41" s="253"/>
      <c r="O41" s="9" t="s">
        <v>388</v>
      </c>
    </row>
    <row r="42" spans="1:15" s="8" customFormat="1" ht="18" customHeight="1" x14ac:dyDescent="0.3">
      <c r="A42" s="248"/>
      <c r="B42" s="253"/>
      <c r="C42" s="253"/>
      <c r="D42" s="253"/>
      <c r="E42" s="253"/>
    </row>
    <row r="43" spans="1:15" s="8" customFormat="1" ht="18" customHeight="1" x14ac:dyDescent="0.3">
      <c r="A43" s="248"/>
      <c r="B43" s="253"/>
      <c r="C43" s="253"/>
      <c r="D43" s="253"/>
      <c r="E43" s="253"/>
    </row>
    <row r="44" spans="1:15" s="8" customFormat="1" ht="18" customHeight="1" x14ac:dyDescent="0.3">
      <c r="A44" s="248"/>
      <c r="B44" s="253"/>
      <c r="C44" s="253"/>
      <c r="D44" s="253"/>
      <c r="E44" s="253"/>
    </row>
    <row r="45" spans="1:15" s="8" customFormat="1" ht="18" customHeight="1" x14ac:dyDescent="0.3">
      <c r="A45" s="248"/>
      <c r="B45" s="253"/>
      <c r="C45" s="253"/>
      <c r="D45" s="253"/>
      <c r="E45" s="253"/>
    </row>
    <row r="46" spans="1:15" s="8" customFormat="1" ht="18" customHeight="1" x14ac:dyDescent="0.3">
      <c r="A46" s="248"/>
      <c r="B46" s="253"/>
      <c r="C46" s="253"/>
      <c r="D46" s="253"/>
      <c r="E46" s="253"/>
    </row>
    <row r="47" spans="1:15" s="8" customFormat="1" ht="18" customHeight="1" x14ac:dyDescent="0.3">
      <c r="A47" s="248"/>
      <c r="B47" s="253"/>
      <c r="C47" s="253"/>
      <c r="D47" s="253"/>
      <c r="E47" s="253"/>
    </row>
    <row r="48" spans="1:15" s="8" customFormat="1" ht="18" customHeight="1" x14ac:dyDescent="0.3">
      <c r="A48" s="248"/>
      <c r="B48" s="253"/>
      <c r="C48" s="253"/>
      <c r="D48" s="253"/>
      <c r="E48" s="253"/>
    </row>
    <row r="49" spans="1:15" s="8" customFormat="1" ht="18" customHeight="1" x14ac:dyDescent="0.3">
      <c r="A49" s="248"/>
      <c r="B49" s="253"/>
      <c r="C49" s="253"/>
      <c r="D49" s="253"/>
      <c r="E49" s="253"/>
    </row>
    <row r="50" spans="1:15" s="8" customFormat="1" ht="18" customHeight="1" x14ac:dyDescent="0.3">
      <c r="A50" s="869" t="s">
        <v>32</v>
      </c>
      <c r="B50" s="253"/>
      <c r="C50" s="253"/>
      <c r="D50" s="253"/>
      <c r="E50" s="253"/>
    </row>
    <row r="51" spans="1:15" s="8" customFormat="1" ht="18" customHeight="1" x14ac:dyDescent="0.3">
      <c r="A51" s="869"/>
      <c r="B51" s="253"/>
      <c r="C51" s="253"/>
      <c r="D51" s="253"/>
      <c r="E51" s="253"/>
    </row>
    <row r="52" spans="1:15" s="8" customFormat="1" ht="18" customHeight="1" x14ac:dyDescent="0.3">
      <c r="A52" s="869"/>
      <c r="B52" s="253"/>
      <c r="C52" s="253"/>
      <c r="D52" s="253"/>
      <c r="E52" s="253"/>
    </row>
    <row r="53" spans="1:15" s="8" customFormat="1" ht="18" customHeight="1" thickBot="1" x14ac:dyDescent="0.35">
      <c r="A53" s="869"/>
      <c r="B53" s="253"/>
      <c r="C53" s="253"/>
      <c r="D53" s="253"/>
      <c r="E53" s="253"/>
    </row>
    <row r="54" spans="1:15" ht="18" customHeight="1" x14ac:dyDescent="0.3">
      <c r="A54" s="654"/>
      <c r="B54" s="654"/>
      <c r="C54" s="654"/>
      <c r="D54" s="654"/>
      <c r="E54" s="654"/>
      <c r="F54" s="654"/>
      <c r="G54" s="654"/>
      <c r="H54" s="654"/>
      <c r="I54" s="654"/>
      <c r="J54" s="654"/>
      <c r="K54" s="654"/>
      <c r="L54" s="654"/>
      <c r="M54" s="654"/>
      <c r="N54" s="654"/>
      <c r="O54" s="654"/>
    </row>
  </sheetData>
  <sheetProtection sheet="1" objects="1" scenarios="1" selectLockedCells="1"/>
  <mergeCells count="4">
    <mergeCell ref="A2:A8"/>
    <mergeCell ref="A24:A27"/>
    <mergeCell ref="A29:A35"/>
    <mergeCell ref="A50:A53"/>
  </mergeCells>
  <conditionalFormatting sqref="A1:XFD1048576">
    <cfRule type="cellIs" dxfId="31" priority="1" operator="equal">
      <formula>"N/A"</formula>
    </cfRule>
  </conditionalFormatting>
  <hyperlinks>
    <hyperlink ref="O2" location="ToC!A1" display="Return to Table of Contents"/>
    <hyperlink ref="O29" location="ToC!A1" display="Return to Table of Contents"/>
  </hyperlinks>
  <printOptions verticalCentered="1"/>
  <pageMargins left="0.5" right="0.5" top="0" bottom="0" header="0.3" footer="0.3"/>
  <pageSetup paperSize="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D8E5"/>
  </sheetPr>
  <dimension ref="A1:Q52"/>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 min="16" max="16" width="3.21875" customWidth="1"/>
  </cols>
  <sheetData>
    <row r="1" spans="1:15" ht="35.25" customHeight="1" x14ac:dyDescent="0.3">
      <c r="A1" s="342"/>
      <c r="B1" s="103"/>
      <c r="C1" s="103"/>
      <c r="D1" s="103"/>
      <c r="E1" s="103"/>
    </row>
    <row r="2" spans="1:15" ht="32.4" customHeight="1" x14ac:dyDescent="0.3">
      <c r="A2" s="877" t="s">
        <v>74</v>
      </c>
      <c r="B2" s="103"/>
      <c r="C2" s="104" t="s">
        <v>195</v>
      </c>
      <c r="D2" s="103"/>
      <c r="E2" s="103"/>
      <c r="O2" s="328" t="s">
        <v>34</v>
      </c>
    </row>
    <row r="3" spans="1:15" ht="25.8" customHeight="1" x14ac:dyDescent="0.5">
      <c r="A3" s="878"/>
      <c r="B3" s="103"/>
      <c r="C3" s="105" t="s">
        <v>360</v>
      </c>
      <c r="D3" s="103"/>
      <c r="E3" s="103"/>
    </row>
    <row r="4" spans="1:15" ht="25.8" customHeight="1" x14ac:dyDescent="0.5">
      <c r="A4" s="878"/>
      <c r="B4" s="103"/>
      <c r="C4" s="105" t="str">
        <f>"COST (EST.): "&amp;TEXT(SUM(N10:N14),"$0,000.00")</f>
        <v>COST (EST.): $2,008.00</v>
      </c>
      <c r="D4" s="103"/>
      <c r="E4" s="103"/>
    </row>
    <row r="5" spans="1:15" ht="72" customHeight="1" x14ac:dyDescent="0.3">
      <c r="A5" s="878"/>
      <c r="B5" s="103"/>
      <c r="C5" s="103"/>
      <c r="D5" s="103"/>
      <c r="E5" s="103"/>
    </row>
    <row r="6" spans="1:15" ht="72" customHeight="1" x14ac:dyDescent="0.3">
      <c r="A6" s="878"/>
      <c r="B6" s="103"/>
      <c r="C6" s="103"/>
      <c r="D6" s="103"/>
      <c r="E6" s="103"/>
    </row>
    <row r="7" spans="1:15" ht="72" customHeight="1" x14ac:dyDescent="0.3">
      <c r="A7" s="878"/>
      <c r="B7" s="103"/>
      <c r="C7" s="103"/>
      <c r="D7" s="103"/>
      <c r="E7" s="103"/>
    </row>
    <row r="8" spans="1:15" ht="72" customHeight="1" x14ac:dyDescent="0.3">
      <c r="A8" s="878"/>
      <c r="B8" s="103"/>
      <c r="C8" s="103"/>
      <c r="D8" s="103"/>
      <c r="E8" s="103"/>
    </row>
    <row r="9" spans="1:15" s="4" customFormat="1" ht="18" customHeight="1" thickBot="1" x14ac:dyDescent="0.35">
      <c r="A9" s="101"/>
      <c r="B9" s="106"/>
      <c r="C9" s="198" t="s">
        <v>1</v>
      </c>
      <c r="D9" s="199"/>
      <c r="E9" s="200" t="s">
        <v>2</v>
      </c>
      <c r="F9" s="200" t="s">
        <v>3</v>
      </c>
      <c r="G9" s="198" t="s">
        <v>4</v>
      </c>
      <c r="H9" s="198" t="s">
        <v>5</v>
      </c>
      <c r="I9" s="198" t="s">
        <v>6</v>
      </c>
      <c r="J9" s="201" t="s">
        <v>7</v>
      </c>
      <c r="K9" s="198" t="s">
        <v>8</v>
      </c>
      <c r="L9" s="199"/>
      <c r="M9" s="201" t="s">
        <v>283</v>
      </c>
      <c r="N9" s="201" t="s">
        <v>352</v>
      </c>
      <c r="O9" s="198" t="s">
        <v>10</v>
      </c>
    </row>
    <row r="10" spans="1:15" s="8" customFormat="1" ht="34.5" customHeight="1" x14ac:dyDescent="0.3">
      <c r="A10" s="102"/>
      <c r="B10" s="107"/>
      <c r="C10" s="19" t="s">
        <v>13</v>
      </c>
      <c r="D10" s="48" t="s">
        <v>196</v>
      </c>
      <c r="E10" s="110">
        <v>2</v>
      </c>
      <c r="F10" s="111">
        <v>1</v>
      </c>
      <c r="G10" s="98" t="s">
        <v>199</v>
      </c>
      <c r="H10" s="23" t="s">
        <v>56</v>
      </c>
      <c r="I10" s="37" t="s">
        <v>200</v>
      </c>
      <c r="J10" s="116" t="s">
        <v>36</v>
      </c>
      <c r="K10" s="23" t="s">
        <v>30</v>
      </c>
      <c r="L10" s="23"/>
      <c r="M10" s="164">
        <v>2150.65</v>
      </c>
      <c r="N10" s="164">
        <f>ROUNDUP(M10*0.2, 0)</f>
        <v>431</v>
      </c>
      <c r="O10" s="23" t="s">
        <v>279</v>
      </c>
    </row>
    <row r="11" spans="1:15" s="8" customFormat="1" ht="34.5" customHeight="1" x14ac:dyDescent="0.3">
      <c r="A11" s="102"/>
      <c r="B11" s="107"/>
      <c r="C11" s="20" t="s">
        <v>14</v>
      </c>
      <c r="D11" s="49" t="s">
        <v>197</v>
      </c>
      <c r="E11" s="112">
        <v>5</v>
      </c>
      <c r="F11" s="113">
        <v>1</v>
      </c>
      <c r="G11" s="108" t="s">
        <v>36</v>
      </c>
      <c r="H11" s="25" t="s">
        <v>36</v>
      </c>
      <c r="I11" s="109" t="s">
        <v>36</v>
      </c>
      <c r="J11" s="117" t="s">
        <v>202</v>
      </c>
      <c r="K11" s="25" t="s">
        <v>36</v>
      </c>
      <c r="L11" s="25"/>
      <c r="M11" s="165">
        <v>721</v>
      </c>
      <c r="N11" s="164">
        <f>ROUNDUP(M11*0.3, 0)</f>
        <v>217</v>
      </c>
      <c r="O11" s="25" t="s">
        <v>280</v>
      </c>
    </row>
    <row r="12" spans="1:15" s="8" customFormat="1" ht="34.5" customHeight="1" x14ac:dyDescent="0.3">
      <c r="A12" s="102"/>
      <c r="B12" s="107"/>
      <c r="C12" s="20" t="s">
        <v>15</v>
      </c>
      <c r="D12" s="49" t="s">
        <v>198</v>
      </c>
      <c r="E12" s="112">
        <v>5</v>
      </c>
      <c r="F12" s="113">
        <v>1</v>
      </c>
      <c r="G12" s="108" t="s">
        <v>36</v>
      </c>
      <c r="H12" s="25" t="s">
        <v>36</v>
      </c>
      <c r="I12" s="109" t="s">
        <v>36</v>
      </c>
      <c r="J12" s="117" t="s">
        <v>203</v>
      </c>
      <c r="K12" s="25" t="s">
        <v>36</v>
      </c>
      <c r="L12" s="25"/>
      <c r="M12" s="165">
        <v>252.97</v>
      </c>
      <c r="N12" s="164">
        <f>ROUNDUP(M12*0.4, 0)</f>
        <v>102</v>
      </c>
      <c r="O12" s="25" t="s">
        <v>281</v>
      </c>
    </row>
    <row r="13" spans="1:15" s="8" customFormat="1" ht="34.5" customHeight="1" x14ac:dyDescent="0.3">
      <c r="A13" s="102"/>
      <c r="B13" s="107"/>
      <c r="C13" s="20" t="s">
        <v>16</v>
      </c>
      <c r="D13" s="49" t="s">
        <v>20</v>
      </c>
      <c r="E13" s="112" t="s">
        <v>18</v>
      </c>
      <c r="F13" s="113">
        <v>2</v>
      </c>
      <c r="G13" s="108" t="s">
        <v>36</v>
      </c>
      <c r="H13" s="25" t="s">
        <v>36</v>
      </c>
      <c r="I13" s="109" t="s">
        <v>36</v>
      </c>
      <c r="J13" s="279" t="s">
        <v>353</v>
      </c>
      <c r="K13" s="25" t="s">
        <v>29</v>
      </c>
      <c r="L13" s="25"/>
      <c r="M13" s="165">
        <v>1120</v>
      </c>
      <c r="N13" s="164">
        <f>ROUNDUP(M13*0.6, 0)</f>
        <v>672</v>
      </c>
      <c r="O13" s="25" t="s">
        <v>36</v>
      </c>
    </row>
    <row r="14" spans="1:15" s="8" customFormat="1" ht="34.5" customHeight="1" thickBot="1" x14ac:dyDescent="0.35">
      <c r="A14" s="102"/>
      <c r="B14" s="107"/>
      <c r="C14" s="21" t="s">
        <v>17</v>
      </c>
      <c r="D14" s="50" t="s">
        <v>25</v>
      </c>
      <c r="E14" s="114">
        <v>6</v>
      </c>
      <c r="F14" s="115">
        <v>1</v>
      </c>
      <c r="G14" s="119" t="s">
        <v>201</v>
      </c>
      <c r="H14" s="27" t="s">
        <v>36</v>
      </c>
      <c r="I14" s="100" t="s">
        <v>39</v>
      </c>
      <c r="J14" s="118" t="s">
        <v>28</v>
      </c>
      <c r="K14" s="27" t="s">
        <v>29</v>
      </c>
      <c r="L14" s="27"/>
      <c r="M14" s="166">
        <v>976.3</v>
      </c>
      <c r="N14" s="167">
        <f>ROUNDUP(M14*0.6, 0)</f>
        <v>586</v>
      </c>
      <c r="O14" s="27" t="s">
        <v>269</v>
      </c>
    </row>
    <row r="15" spans="1:15" s="8" customFormat="1" ht="18" customHeight="1" x14ac:dyDescent="0.3">
      <c r="A15" s="102"/>
      <c r="B15" s="107"/>
      <c r="C15" s="107"/>
      <c r="D15" s="107"/>
      <c r="E15" s="107"/>
      <c r="O15" s="318" t="s">
        <v>385</v>
      </c>
    </row>
    <row r="16" spans="1:15" s="8" customFormat="1" ht="18" customHeight="1" x14ac:dyDescent="0.3">
      <c r="A16" s="102"/>
      <c r="B16" s="107"/>
      <c r="C16" s="107"/>
      <c r="D16" s="107"/>
      <c r="E16" s="107"/>
      <c r="O16" s="9" t="s">
        <v>389</v>
      </c>
    </row>
    <row r="17" spans="1:15" s="8" customFormat="1" ht="18" customHeight="1" x14ac:dyDescent="0.3">
      <c r="A17" s="102"/>
      <c r="B17" s="107"/>
      <c r="C17" s="107"/>
      <c r="D17" s="107"/>
      <c r="E17" s="107"/>
    </row>
    <row r="18" spans="1:15" s="8" customFormat="1" ht="18" customHeight="1" x14ac:dyDescent="0.3">
      <c r="A18" s="102"/>
      <c r="B18" s="107"/>
      <c r="C18" s="107"/>
      <c r="D18" s="107"/>
      <c r="E18" s="107"/>
    </row>
    <row r="19" spans="1:15" s="8" customFormat="1" ht="18" customHeight="1" x14ac:dyDescent="0.3">
      <c r="A19" s="102"/>
      <c r="B19" s="107"/>
      <c r="C19" s="107"/>
      <c r="D19" s="107"/>
      <c r="E19" s="107"/>
    </row>
    <row r="20" spans="1:15" s="8" customFormat="1" ht="18" customHeight="1" x14ac:dyDescent="0.3">
      <c r="A20" s="102"/>
      <c r="B20" s="107"/>
      <c r="C20" s="107"/>
      <c r="D20" s="107"/>
      <c r="E20" s="107"/>
    </row>
    <row r="21" spans="1:15" s="8" customFormat="1" ht="18" customHeight="1" x14ac:dyDescent="0.3">
      <c r="A21" s="879" t="s">
        <v>0</v>
      </c>
      <c r="B21" s="107"/>
      <c r="C21" s="107"/>
      <c r="D21" s="107"/>
      <c r="E21" s="107"/>
    </row>
    <row r="22" spans="1:15" s="8" customFormat="1" ht="18" customHeight="1" x14ac:dyDescent="0.3">
      <c r="A22" s="879"/>
      <c r="B22" s="107"/>
      <c r="C22" s="107"/>
      <c r="D22" s="107"/>
      <c r="E22" s="107"/>
    </row>
    <row r="23" spans="1:15" s="8" customFormat="1" ht="18" customHeight="1" x14ac:dyDescent="0.3">
      <c r="A23" s="879"/>
      <c r="B23" s="107"/>
      <c r="C23" s="107"/>
      <c r="D23" s="107"/>
      <c r="E23" s="107"/>
    </row>
    <row r="24" spans="1:15" s="8" customFormat="1" ht="18" customHeight="1" thickBot="1" x14ac:dyDescent="0.35">
      <c r="A24" s="879"/>
      <c r="B24" s="107"/>
      <c r="C24" s="107"/>
      <c r="D24" s="107"/>
      <c r="E24" s="107"/>
    </row>
    <row r="25" spans="1:15" ht="35.25" customHeight="1" x14ac:dyDescent="0.3">
      <c r="A25" s="661"/>
      <c r="B25" s="662"/>
      <c r="C25" s="662"/>
      <c r="D25" s="662"/>
      <c r="E25" s="662"/>
      <c r="F25" s="663"/>
      <c r="G25" s="663"/>
      <c r="H25" s="663"/>
      <c r="I25" s="663"/>
      <c r="J25" s="663"/>
      <c r="K25" s="663"/>
      <c r="L25" s="663"/>
      <c r="M25" s="663"/>
      <c r="N25" s="663"/>
      <c r="O25" s="663"/>
    </row>
    <row r="26" spans="1:15" ht="32.4" customHeight="1" x14ac:dyDescent="0.3">
      <c r="A26" s="877" t="s">
        <v>74</v>
      </c>
      <c r="B26" s="103"/>
      <c r="C26" s="104" t="s">
        <v>204</v>
      </c>
      <c r="D26" s="103"/>
      <c r="E26" s="103"/>
      <c r="O26" s="328" t="s">
        <v>34</v>
      </c>
    </row>
    <row r="27" spans="1:15" ht="25.8" customHeight="1" x14ac:dyDescent="0.5">
      <c r="A27" s="878"/>
      <c r="B27" s="103"/>
      <c r="C27" s="105" t="s">
        <v>360</v>
      </c>
      <c r="D27" s="103"/>
      <c r="E27" s="103"/>
    </row>
    <row r="28" spans="1:15" ht="25.8" customHeight="1" x14ac:dyDescent="0.5">
      <c r="A28" s="878"/>
      <c r="B28" s="103"/>
      <c r="C28" s="105" t="str">
        <f>"COST (EST.): "&amp;TEXT(SUM(N34:N35),"$0,000.00")</f>
        <v>COST (EST.): $1,519.00</v>
      </c>
      <c r="D28" s="103"/>
      <c r="E28" s="103"/>
    </row>
    <row r="29" spans="1:15" ht="72" customHeight="1" x14ac:dyDescent="0.3">
      <c r="A29" s="878"/>
      <c r="B29" s="103"/>
      <c r="C29" s="103"/>
      <c r="D29" s="103"/>
      <c r="E29" s="103"/>
    </row>
    <row r="30" spans="1:15" ht="72" customHeight="1" x14ac:dyDescent="0.3">
      <c r="A30" s="878"/>
      <c r="B30" s="103"/>
      <c r="C30" s="103"/>
      <c r="D30" s="103"/>
      <c r="E30" s="103"/>
    </row>
    <row r="31" spans="1:15" ht="72" customHeight="1" x14ac:dyDescent="0.3">
      <c r="A31" s="878"/>
      <c r="B31" s="103"/>
      <c r="C31" s="103"/>
      <c r="D31" s="103"/>
      <c r="E31" s="103"/>
    </row>
    <row r="32" spans="1:15" ht="72" customHeight="1" x14ac:dyDescent="0.3">
      <c r="A32" s="878"/>
      <c r="B32" s="103"/>
      <c r="C32" s="103"/>
      <c r="D32" s="103"/>
      <c r="E32" s="103"/>
    </row>
    <row r="33" spans="1:17" s="4" customFormat="1" ht="18" customHeight="1" thickBot="1" x14ac:dyDescent="0.35">
      <c r="A33" s="101"/>
      <c r="B33" s="106"/>
      <c r="C33" s="198" t="s">
        <v>1</v>
      </c>
      <c r="D33" s="199"/>
      <c r="E33" s="200" t="s">
        <v>2</v>
      </c>
      <c r="F33" s="200" t="s">
        <v>3</v>
      </c>
      <c r="G33" s="198" t="s">
        <v>4</v>
      </c>
      <c r="H33" s="198" t="s">
        <v>5</v>
      </c>
      <c r="I33" s="198" t="s">
        <v>6</v>
      </c>
      <c r="J33" s="201" t="s">
        <v>7</v>
      </c>
      <c r="K33" s="198" t="s">
        <v>8</v>
      </c>
      <c r="L33" s="199"/>
      <c r="M33" s="201" t="s">
        <v>283</v>
      </c>
      <c r="N33" s="201" t="s">
        <v>352</v>
      </c>
      <c r="O33" s="198" t="s">
        <v>10</v>
      </c>
    </row>
    <row r="34" spans="1:17" s="8" customFormat="1" ht="34.5" customHeight="1" x14ac:dyDescent="0.3">
      <c r="A34" s="102"/>
      <c r="B34" s="107"/>
      <c r="C34" s="19" t="s">
        <v>13</v>
      </c>
      <c r="D34" s="94" t="s">
        <v>20</v>
      </c>
      <c r="E34" s="110" t="s">
        <v>18</v>
      </c>
      <c r="F34" s="111">
        <v>2</v>
      </c>
      <c r="G34" s="46" t="s">
        <v>36</v>
      </c>
      <c r="H34" s="46" t="s">
        <v>36</v>
      </c>
      <c r="I34" s="46" t="s">
        <v>36</v>
      </c>
      <c r="J34" s="120" t="s">
        <v>353</v>
      </c>
      <c r="K34" s="23" t="s">
        <v>29</v>
      </c>
      <c r="L34" s="41"/>
      <c r="M34" s="164">
        <v>1120</v>
      </c>
      <c r="N34" s="164">
        <f>ROUNDUP(M34*0.6, )</f>
        <v>672</v>
      </c>
      <c r="O34" s="23" t="s">
        <v>36</v>
      </c>
    </row>
    <row r="35" spans="1:17" s="8" customFormat="1" ht="34.5" customHeight="1" thickBot="1" x14ac:dyDescent="0.35">
      <c r="A35" s="102"/>
      <c r="B35" s="107"/>
      <c r="C35" s="21" t="s">
        <v>14</v>
      </c>
      <c r="D35" s="96" t="s">
        <v>48</v>
      </c>
      <c r="E35" s="114">
        <v>6</v>
      </c>
      <c r="F35" s="114">
        <v>1</v>
      </c>
      <c r="G35" s="680" t="s">
        <v>40</v>
      </c>
      <c r="H35" s="680" t="s">
        <v>56</v>
      </c>
      <c r="I35" s="680" t="s">
        <v>152</v>
      </c>
      <c r="J35" s="681" t="s">
        <v>479</v>
      </c>
      <c r="K35" s="27" t="s">
        <v>30</v>
      </c>
      <c r="L35" s="45"/>
      <c r="M35" s="166">
        <v>1410.89</v>
      </c>
      <c r="N35" s="167">
        <f>ROUNDUP(M35*0.6, )</f>
        <v>847</v>
      </c>
      <c r="O35" s="100" t="s">
        <v>494</v>
      </c>
      <c r="P35" s="429"/>
      <c r="Q35" s="679"/>
    </row>
    <row r="36" spans="1:17" s="8" customFormat="1" ht="18" customHeight="1" x14ac:dyDescent="0.3">
      <c r="A36" s="102"/>
      <c r="B36" s="107"/>
      <c r="C36" s="107"/>
      <c r="D36" s="107"/>
      <c r="E36" s="107"/>
      <c r="O36" s="318" t="s">
        <v>385</v>
      </c>
    </row>
    <row r="37" spans="1:17" s="8" customFormat="1" ht="18" customHeight="1" x14ac:dyDescent="0.3">
      <c r="A37" s="102"/>
      <c r="B37" s="107"/>
      <c r="C37" s="107"/>
      <c r="D37" s="107"/>
      <c r="E37" s="107"/>
      <c r="O37" s="9" t="s">
        <v>389</v>
      </c>
    </row>
    <row r="38" spans="1:17" s="8" customFormat="1" ht="18" customHeight="1" x14ac:dyDescent="0.3">
      <c r="A38" s="102"/>
      <c r="B38" s="107"/>
      <c r="C38" s="107"/>
      <c r="D38" s="107"/>
      <c r="E38" s="107"/>
    </row>
    <row r="39" spans="1:17" s="8" customFormat="1" ht="18" customHeight="1" x14ac:dyDescent="0.3">
      <c r="A39" s="102"/>
      <c r="B39" s="107"/>
      <c r="C39" s="107"/>
      <c r="D39" s="107"/>
      <c r="E39" s="107"/>
    </row>
    <row r="40" spans="1:17" s="8" customFormat="1" ht="18" customHeight="1" x14ac:dyDescent="0.3">
      <c r="A40" s="102"/>
      <c r="B40" s="107"/>
      <c r="C40" s="107"/>
      <c r="D40" s="107"/>
      <c r="E40" s="107"/>
    </row>
    <row r="41" spans="1:17" s="8" customFormat="1" ht="18" customHeight="1" x14ac:dyDescent="0.3">
      <c r="A41" s="102"/>
      <c r="B41" s="107"/>
      <c r="C41" s="107"/>
      <c r="D41" s="107"/>
      <c r="E41" s="107"/>
    </row>
    <row r="42" spans="1:17" s="8" customFormat="1" ht="18" customHeight="1" x14ac:dyDescent="0.3">
      <c r="A42" s="102"/>
      <c r="B42" s="107"/>
      <c r="C42" s="107"/>
      <c r="D42" s="107"/>
      <c r="E42" s="107"/>
    </row>
    <row r="43" spans="1:17" s="8" customFormat="1" ht="18" customHeight="1" x14ac:dyDescent="0.3">
      <c r="A43" s="102"/>
      <c r="B43" s="107"/>
      <c r="C43" s="107"/>
      <c r="D43" s="107"/>
      <c r="E43" s="107"/>
    </row>
    <row r="44" spans="1:17" s="8" customFormat="1" ht="18" customHeight="1" x14ac:dyDescent="0.3">
      <c r="A44" s="102"/>
      <c r="B44" s="107"/>
      <c r="C44" s="107"/>
      <c r="D44" s="107"/>
      <c r="E44" s="107"/>
    </row>
    <row r="45" spans="1:17" s="8" customFormat="1" ht="18" customHeight="1" x14ac:dyDescent="0.3">
      <c r="A45" s="102"/>
      <c r="B45" s="107"/>
      <c r="C45" s="107"/>
      <c r="D45" s="107"/>
      <c r="E45" s="107"/>
    </row>
    <row r="46" spans="1:17" s="8" customFormat="1" ht="18" customHeight="1" x14ac:dyDescent="0.3">
      <c r="A46" s="102"/>
      <c r="B46" s="107"/>
      <c r="C46" s="107"/>
      <c r="D46" s="107"/>
      <c r="E46" s="107"/>
    </row>
    <row r="47" spans="1:17" s="8" customFormat="1" ht="18" customHeight="1" x14ac:dyDescent="0.3">
      <c r="A47" s="102"/>
      <c r="B47" s="107"/>
      <c r="C47" s="107"/>
      <c r="D47" s="107"/>
      <c r="E47" s="107"/>
    </row>
    <row r="48" spans="1:17" s="8" customFormat="1" ht="18" customHeight="1" x14ac:dyDescent="0.3">
      <c r="A48" s="879" t="s">
        <v>32</v>
      </c>
      <c r="B48" s="107"/>
      <c r="C48" s="107"/>
      <c r="D48" s="107"/>
      <c r="E48" s="107"/>
    </row>
    <row r="49" spans="1:15" s="8" customFormat="1" ht="18" customHeight="1" x14ac:dyDescent="0.3">
      <c r="A49" s="879"/>
      <c r="B49" s="107"/>
      <c r="C49" s="107"/>
      <c r="D49" s="107"/>
      <c r="E49" s="107"/>
    </row>
    <row r="50" spans="1:15" s="8" customFormat="1" ht="18" customHeight="1" x14ac:dyDescent="0.3">
      <c r="A50" s="879"/>
      <c r="B50" s="107"/>
      <c r="C50" s="107"/>
      <c r="D50" s="107"/>
      <c r="E50" s="107"/>
    </row>
    <row r="51" spans="1:15" s="8" customFormat="1" ht="18" customHeight="1" thickBot="1" x14ac:dyDescent="0.35">
      <c r="A51" s="879"/>
      <c r="B51" s="107"/>
      <c r="C51" s="107"/>
      <c r="D51" s="107"/>
      <c r="E51" s="107"/>
    </row>
    <row r="52" spans="1:15" ht="18" customHeight="1" x14ac:dyDescent="0.3">
      <c r="A52" s="664"/>
      <c r="B52" s="663"/>
      <c r="C52" s="663"/>
      <c r="D52" s="663"/>
      <c r="E52" s="663"/>
      <c r="F52" s="663"/>
      <c r="G52" s="663"/>
      <c r="H52" s="663"/>
      <c r="I52" s="663"/>
      <c r="J52" s="663"/>
      <c r="K52" s="663"/>
      <c r="L52" s="663"/>
      <c r="M52" s="663"/>
      <c r="N52" s="663"/>
      <c r="O52" s="663"/>
    </row>
  </sheetData>
  <sheetProtection sheet="1" objects="1" scenarios="1" selectLockedCells="1"/>
  <mergeCells count="4">
    <mergeCell ref="A2:A8"/>
    <mergeCell ref="A21:A24"/>
    <mergeCell ref="A26:A32"/>
    <mergeCell ref="A48:A51"/>
  </mergeCells>
  <conditionalFormatting sqref="A1:XFD1048576">
    <cfRule type="cellIs" dxfId="30" priority="1" operator="equal">
      <formula>"N/A"</formula>
    </cfRule>
  </conditionalFormatting>
  <hyperlinks>
    <hyperlink ref="O2" location="ToC!A1" display="Return to Table of Contents"/>
    <hyperlink ref="O26" location="ToC!A1" display="Return to Table of Contents"/>
  </hyperlinks>
  <printOptions verticalCentered="1"/>
  <pageMargins left="0.5" right="0.5" top="0" bottom="0" header="0.3" footer="0.3"/>
  <pageSetup paperSize="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D8E5"/>
  </sheetPr>
  <dimension ref="A1:O45"/>
  <sheetViews>
    <sheetView showGridLines="0" zoomScaleNormal="100" zoomScalePageLayoutView="85" workbookViewId="0"/>
  </sheetViews>
  <sheetFormatPr defaultColWidth="8.88671875" defaultRowHeight="18" customHeight="1" x14ac:dyDescent="0.3"/>
  <cols>
    <col min="1" max="1" width="5.77734375" style="61" customWidth="1"/>
    <col min="2" max="2" width="2.77734375" customWidth="1"/>
    <col min="3" max="3" width="5.77734375" customWidth="1"/>
    <col min="4" max="4" width="28.77734375" customWidth="1"/>
    <col min="5" max="6" width="5.77734375" customWidth="1"/>
    <col min="7" max="9" width="16" customWidth="1"/>
    <col min="10" max="10" width="35.109375" customWidth="1"/>
    <col min="11" max="12" width="12.77734375" customWidth="1"/>
    <col min="13" max="13" width="15.33203125" hidden="1" customWidth="1"/>
    <col min="14" max="14" width="15.33203125" customWidth="1"/>
    <col min="15" max="15" width="24.88671875" customWidth="1"/>
  </cols>
  <sheetData>
    <row r="1" spans="1:15" ht="35.25" customHeight="1" x14ac:dyDescent="0.3">
      <c r="A1" s="342"/>
      <c r="B1" s="103"/>
      <c r="C1" s="103"/>
      <c r="D1" s="103"/>
      <c r="E1" s="103"/>
    </row>
    <row r="2" spans="1:15" ht="32.4" customHeight="1" x14ac:dyDescent="0.3">
      <c r="A2" s="877" t="s">
        <v>74</v>
      </c>
      <c r="B2" s="103"/>
      <c r="C2" s="104" t="s">
        <v>216</v>
      </c>
      <c r="D2" s="103"/>
      <c r="E2" s="103"/>
      <c r="O2" s="328" t="s">
        <v>34</v>
      </c>
    </row>
    <row r="3" spans="1:15" ht="25.8" customHeight="1" x14ac:dyDescent="0.5">
      <c r="A3" s="878"/>
      <c r="B3" s="103"/>
      <c r="C3" s="105" t="s">
        <v>483</v>
      </c>
      <c r="D3" s="103"/>
      <c r="E3" s="103"/>
    </row>
    <row r="4" spans="1:15" ht="25.8" customHeight="1" x14ac:dyDescent="0.5">
      <c r="A4" s="878"/>
      <c r="B4" s="103"/>
      <c r="C4" s="105" t="str">
        <f>"COST (EST.): "&amp;TEXT(SUM(N10:N18),"$0,000.00")</f>
        <v>COST (EST.): $13,114.00</v>
      </c>
      <c r="D4" s="103"/>
      <c r="E4" s="103"/>
    </row>
    <row r="5" spans="1:15" ht="72" customHeight="1" x14ac:dyDescent="0.3">
      <c r="A5" s="878"/>
      <c r="B5" s="103"/>
      <c r="C5" s="103"/>
      <c r="D5" s="103"/>
      <c r="E5" s="103"/>
    </row>
    <row r="6" spans="1:15" ht="72" customHeight="1" x14ac:dyDescent="0.3">
      <c r="A6" s="878"/>
      <c r="B6" s="103"/>
      <c r="C6" s="103"/>
      <c r="D6" s="103"/>
      <c r="E6" s="103"/>
    </row>
    <row r="7" spans="1:15" ht="72" customHeight="1" x14ac:dyDescent="0.3">
      <c r="A7" s="878"/>
      <c r="B7" s="103"/>
      <c r="C7" s="103"/>
      <c r="D7" s="103"/>
      <c r="E7" s="103"/>
    </row>
    <row r="8" spans="1:15" ht="72" customHeight="1" x14ac:dyDescent="0.3">
      <c r="A8" s="878"/>
      <c r="B8" s="103"/>
      <c r="C8" s="103"/>
      <c r="D8" s="103"/>
      <c r="E8" s="103"/>
    </row>
    <row r="9" spans="1:15" s="4" customFormat="1" ht="18" customHeight="1" thickBot="1" x14ac:dyDescent="0.35">
      <c r="A9" s="101"/>
      <c r="B9" s="106"/>
      <c r="C9" s="194" t="s">
        <v>1</v>
      </c>
      <c r="D9" s="195"/>
      <c r="E9" s="196" t="s">
        <v>2</v>
      </c>
      <c r="F9" s="196" t="s">
        <v>3</v>
      </c>
      <c r="G9" s="194" t="s">
        <v>4</v>
      </c>
      <c r="H9" s="194" t="s">
        <v>5</v>
      </c>
      <c r="I9" s="194" t="s">
        <v>6</v>
      </c>
      <c r="J9" s="197" t="s">
        <v>7</v>
      </c>
      <c r="K9" s="194" t="s">
        <v>8</v>
      </c>
      <c r="L9" s="195"/>
      <c r="M9" s="197" t="s">
        <v>283</v>
      </c>
      <c r="N9" s="197" t="s">
        <v>352</v>
      </c>
      <c r="O9" s="194" t="s">
        <v>10</v>
      </c>
    </row>
    <row r="10" spans="1:15" s="8" customFormat="1" ht="31.95" customHeight="1" x14ac:dyDescent="0.3">
      <c r="A10" s="102"/>
      <c r="B10" s="107"/>
      <c r="C10" s="19" t="s">
        <v>13</v>
      </c>
      <c r="D10" s="49" t="s">
        <v>196</v>
      </c>
      <c r="E10" s="112">
        <v>2</v>
      </c>
      <c r="F10" s="113">
        <v>4</v>
      </c>
      <c r="G10" s="108" t="s">
        <v>40</v>
      </c>
      <c r="H10" s="25" t="s">
        <v>56</v>
      </c>
      <c r="I10" s="109" t="s">
        <v>211</v>
      </c>
      <c r="J10" s="117" t="s">
        <v>208</v>
      </c>
      <c r="K10" s="25" t="s">
        <v>30</v>
      </c>
      <c r="L10" s="25"/>
      <c r="M10" s="169">
        <v>8055.28</v>
      </c>
      <c r="N10" s="164">
        <f>ROUNDUP(M10*0.2, 0)</f>
        <v>1612</v>
      </c>
      <c r="O10" s="25" t="s">
        <v>284</v>
      </c>
    </row>
    <row r="11" spans="1:15" s="8" customFormat="1" ht="31.95" customHeight="1" x14ac:dyDescent="0.3">
      <c r="A11" s="102"/>
      <c r="B11" s="107"/>
      <c r="C11" s="20" t="s">
        <v>14</v>
      </c>
      <c r="D11" s="48" t="s">
        <v>20</v>
      </c>
      <c r="E11" s="110" t="s">
        <v>18</v>
      </c>
      <c r="F11" s="111">
        <v>4</v>
      </c>
      <c r="G11" s="98" t="s">
        <v>36</v>
      </c>
      <c r="H11" s="23" t="s">
        <v>36</v>
      </c>
      <c r="I11" s="37" t="s">
        <v>36</v>
      </c>
      <c r="J11" s="285" t="s">
        <v>353</v>
      </c>
      <c r="K11" s="23" t="s">
        <v>29</v>
      </c>
      <c r="L11" s="23"/>
      <c r="M11" s="168">
        <v>2240</v>
      </c>
      <c r="N11" s="164">
        <f t="shared" ref="N11:N18" si="0">ROUNDUP(M11*0.6, 0)</f>
        <v>1344</v>
      </c>
      <c r="O11" s="23" t="s">
        <v>36</v>
      </c>
    </row>
    <row r="12" spans="1:15" s="8" customFormat="1" ht="31.95" customHeight="1" x14ac:dyDescent="0.3">
      <c r="A12" s="102"/>
      <c r="B12" s="107"/>
      <c r="C12" s="20" t="s">
        <v>15</v>
      </c>
      <c r="D12" s="49" t="s">
        <v>207</v>
      </c>
      <c r="E12" s="112" t="s">
        <v>19</v>
      </c>
      <c r="F12" s="112">
        <v>7</v>
      </c>
      <c r="G12" s="173" t="s">
        <v>36</v>
      </c>
      <c r="H12" s="25" t="s">
        <v>36</v>
      </c>
      <c r="I12" s="38" t="s">
        <v>36</v>
      </c>
      <c r="J12" s="117" t="s">
        <v>210</v>
      </c>
      <c r="K12" s="25" t="s">
        <v>29</v>
      </c>
      <c r="L12" s="25"/>
      <c r="M12" s="169">
        <v>3990</v>
      </c>
      <c r="N12" s="165">
        <f t="shared" si="0"/>
        <v>2394</v>
      </c>
      <c r="O12" s="25" t="s">
        <v>36</v>
      </c>
    </row>
    <row r="13" spans="1:15" s="8" customFormat="1" ht="31.95" customHeight="1" x14ac:dyDescent="0.3">
      <c r="A13" s="102"/>
      <c r="B13" s="107"/>
      <c r="C13" s="20" t="s">
        <v>16</v>
      </c>
      <c r="D13" s="49" t="s">
        <v>69</v>
      </c>
      <c r="E13" s="112" t="s">
        <v>18</v>
      </c>
      <c r="F13" s="112">
        <v>6</v>
      </c>
      <c r="G13" s="682" t="s">
        <v>36</v>
      </c>
      <c r="H13" s="381" t="s">
        <v>36</v>
      </c>
      <c r="I13" s="683" t="s">
        <v>36</v>
      </c>
      <c r="J13" s="684" t="s">
        <v>70</v>
      </c>
      <c r="K13" s="25" t="s">
        <v>29</v>
      </c>
      <c r="L13" s="25"/>
      <c r="M13" s="169">
        <v>2052</v>
      </c>
      <c r="N13" s="165">
        <f t="shared" si="0"/>
        <v>1232</v>
      </c>
      <c r="O13" s="25" t="s">
        <v>287</v>
      </c>
    </row>
    <row r="14" spans="1:15" s="8" customFormat="1" ht="31.95" customHeight="1" x14ac:dyDescent="0.3">
      <c r="A14" s="102"/>
      <c r="B14" s="107"/>
      <c r="C14" s="20" t="s">
        <v>17</v>
      </c>
      <c r="D14" s="97" t="s">
        <v>24</v>
      </c>
      <c r="E14" s="121" t="s">
        <v>19</v>
      </c>
      <c r="F14" s="121">
        <v>1</v>
      </c>
      <c r="G14" s="685" t="s">
        <v>215</v>
      </c>
      <c r="H14" s="686" t="s">
        <v>40</v>
      </c>
      <c r="I14" s="686" t="s">
        <v>42</v>
      </c>
      <c r="J14" s="287" t="s">
        <v>480</v>
      </c>
      <c r="K14" s="40" t="s">
        <v>30</v>
      </c>
      <c r="L14" s="40"/>
      <c r="M14" s="172">
        <v>4628.68</v>
      </c>
      <c r="N14" s="164">
        <f t="shared" si="0"/>
        <v>2778</v>
      </c>
      <c r="O14" s="40" t="s">
        <v>36</v>
      </c>
    </row>
    <row r="15" spans="1:15" s="8" customFormat="1" ht="31.95" customHeight="1" x14ac:dyDescent="0.3">
      <c r="A15" s="102"/>
      <c r="B15" s="107"/>
      <c r="C15" s="39" t="s">
        <v>46</v>
      </c>
      <c r="D15" s="49" t="s">
        <v>208</v>
      </c>
      <c r="E15" s="112" t="s">
        <v>294</v>
      </c>
      <c r="F15" s="113">
        <v>4</v>
      </c>
      <c r="G15" s="108" t="s">
        <v>36</v>
      </c>
      <c r="H15" s="25" t="s">
        <v>56</v>
      </c>
      <c r="I15" s="286" t="s">
        <v>36</v>
      </c>
      <c r="J15" s="117" t="s">
        <v>295</v>
      </c>
      <c r="K15" s="25" t="s">
        <v>29</v>
      </c>
      <c r="L15" s="25"/>
      <c r="M15" s="169">
        <v>1152</v>
      </c>
      <c r="N15" s="164">
        <f t="shared" si="0"/>
        <v>692</v>
      </c>
      <c r="O15" s="25" t="s">
        <v>296</v>
      </c>
    </row>
    <row r="16" spans="1:15" s="8" customFormat="1" ht="31.95" customHeight="1" x14ac:dyDescent="0.3">
      <c r="A16" s="102"/>
      <c r="B16" s="107"/>
      <c r="C16" s="39" t="s">
        <v>103</v>
      </c>
      <c r="D16" s="49" t="s">
        <v>197</v>
      </c>
      <c r="E16" s="112">
        <v>5</v>
      </c>
      <c r="F16" s="113">
        <v>4</v>
      </c>
      <c r="G16" s="108" t="s">
        <v>36</v>
      </c>
      <c r="H16" s="25" t="s">
        <v>36</v>
      </c>
      <c r="I16" s="109" t="s">
        <v>36</v>
      </c>
      <c r="J16" s="117" t="s">
        <v>209</v>
      </c>
      <c r="K16" s="25" t="s">
        <v>36</v>
      </c>
      <c r="L16" s="25"/>
      <c r="M16" s="169">
        <v>1660.8</v>
      </c>
      <c r="N16" s="164">
        <f>ROUNDUP(M16*0.3, 0)</f>
        <v>499</v>
      </c>
      <c r="O16" s="25" t="s">
        <v>285</v>
      </c>
    </row>
    <row r="17" spans="1:15" s="8" customFormat="1" ht="31.95" customHeight="1" x14ac:dyDescent="0.3">
      <c r="A17" s="102"/>
      <c r="B17" s="107"/>
      <c r="C17" s="39" t="s">
        <v>205</v>
      </c>
      <c r="D17" s="97" t="s">
        <v>206</v>
      </c>
      <c r="E17" s="121">
        <v>6</v>
      </c>
      <c r="F17" s="122">
        <v>2</v>
      </c>
      <c r="G17" s="123" t="s">
        <v>213</v>
      </c>
      <c r="H17" s="40" t="s">
        <v>36</v>
      </c>
      <c r="I17" s="124" t="s">
        <v>212</v>
      </c>
      <c r="J17" s="287" t="s">
        <v>292</v>
      </c>
      <c r="K17" s="40" t="s">
        <v>29</v>
      </c>
      <c r="L17" s="40"/>
      <c r="M17" s="172">
        <v>1924</v>
      </c>
      <c r="N17" s="164">
        <f t="shared" si="0"/>
        <v>1155</v>
      </c>
      <c r="O17" s="40" t="s">
        <v>286</v>
      </c>
    </row>
    <row r="18" spans="1:15" s="8" customFormat="1" ht="31.95" customHeight="1" thickBot="1" x14ac:dyDescent="0.35">
      <c r="A18" s="102"/>
      <c r="B18" s="107"/>
      <c r="C18" s="21" t="s">
        <v>293</v>
      </c>
      <c r="D18" s="240" t="s">
        <v>49</v>
      </c>
      <c r="E18" s="377">
        <v>6</v>
      </c>
      <c r="F18" s="378">
        <v>1</v>
      </c>
      <c r="G18" s="364" t="s">
        <v>36</v>
      </c>
      <c r="H18" s="244" t="s">
        <v>36</v>
      </c>
      <c r="I18" s="365" t="s">
        <v>36</v>
      </c>
      <c r="J18" s="383" t="s">
        <v>62</v>
      </c>
      <c r="K18" s="244" t="s">
        <v>115</v>
      </c>
      <c r="L18" s="244"/>
      <c r="M18" s="384">
        <v>2345.87</v>
      </c>
      <c r="N18" s="167">
        <f t="shared" si="0"/>
        <v>1408</v>
      </c>
      <c r="O18" s="244" t="s">
        <v>268</v>
      </c>
    </row>
    <row r="19" spans="1:15" s="8" customFormat="1" ht="18" customHeight="1" x14ac:dyDescent="0.3">
      <c r="A19" s="879" t="s">
        <v>0</v>
      </c>
      <c r="B19" s="107"/>
      <c r="C19" s="107"/>
      <c r="D19" s="107"/>
      <c r="E19" s="107"/>
      <c r="O19" s="318" t="s">
        <v>385</v>
      </c>
    </row>
    <row r="20" spans="1:15" s="8" customFormat="1" ht="18" customHeight="1" x14ac:dyDescent="0.3">
      <c r="A20" s="879"/>
      <c r="B20" s="107"/>
      <c r="C20" s="107"/>
      <c r="D20" s="107"/>
      <c r="E20" s="107"/>
      <c r="O20" s="9" t="s">
        <v>389</v>
      </c>
    </row>
    <row r="21" spans="1:15" s="8" customFormat="1" ht="18" customHeight="1" x14ac:dyDescent="0.3">
      <c r="A21" s="879"/>
      <c r="B21" s="107"/>
      <c r="C21" s="107"/>
      <c r="D21" s="107"/>
      <c r="E21" s="107"/>
    </row>
    <row r="22" spans="1:15" s="8" customFormat="1" ht="18" customHeight="1" thickBot="1" x14ac:dyDescent="0.35">
      <c r="A22" s="879"/>
      <c r="B22" s="107"/>
      <c r="C22" s="107"/>
      <c r="D22" s="107"/>
      <c r="E22" s="107"/>
    </row>
    <row r="23" spans="1:15" ht="35.25" customHeight="1" x14ac:dyDescent="0.3">
      <c r="A23" s="661"/>
      <c r="B23" s="662"/>
      <c r="C23" s="662"/>
      <c r="D23" s="662"/>
      <c r="E23" s="662"/>
      <c r="F23" s="663"/>
      <c r="G23" s="663"/>
      <c r="H23" s="663"/>
      <c r="I23" s="663"/>
      <c r="J23" s="663"/>
      <c r="K23" s="663"/>
      <c r="L23" s="663"/>
      <c r="M23" s="663"/>
      <c r="N23" s="663"/>
      <c r="O23" s="663"/>
    </row>
    <row r="24" spans="1:15" ht="32.4" customHeight="1" x14ac:dyDescent="0.3">
      <c r="A24" s="877" t="s">
        <v>74</v>
      </c>
      <c r="B24" s="103"/>
      <c r="C24" s="104" t="s">
        <v>217</v>
      </c>
      <c r="D24" s="103"/>
      <c r="E24" s="103"/>
      <c r="O24" s="328" t="s">
        <v>34</v>
      </c>
    </row>
    <row r="25" spans="1:15" ht="25.8" customHeight="1" x14ac:dyDescent="0.5">
      <c r="A25" s="878"/>
      <c r="B25" s="103"/>
      <c r="C25" s="105" t="s">
        <v>484</v>
      </c>
      <c r="D25" s="103"/>
      <c r="E25" s="103"/>
    </row>
    <row r="26" spans="1:15" ht="25.8" customHeight="1" x14ac:dyDescent="0.5">
      <c r="A26" s="878"/>
      <c r="B26" s="103"/>
      <c r="C26" s="105" t="str">
        <f>"COST (EST.): "&amp;TEXT(SUM(N32:N39),"$0,000.00")</f>
        <v>COST (EST.): $28,269.00</v>
      </c>
      <c r="D26" s="103"/>
      <c r="E26" s="103"/>
    </row>
    <row r="27" spans="1:15" ht="72" customHeight="1" x14ac:dyDescent="0.3">
      <c r="A27" s="878"/>
      <c r="B27" s="103"/>
      <c r="C27" s="103"/>
      <c r="D27" s="103"/>
      <c r="E27" s="103"/>
    </row>
    <row r="28" spans="1:15" ht="72" customHeight="1" x14ac:dyDescent="0.3">
      <c r="A28" s="878"/>
      <c r="B28" s="103"/>
      <c r="C28" s="103"/>
      <c r="D28" s="103"/>
      <c r="E28" s="103"/>
    </row>
    <row r="29" spans="1:15" ht="72" customHeight="1" x14ac:dyDescent="0.3">
      <c r="A29" s="878"/>
      <c r="B29" s="103"/>
      <c r="C29" s="103"/>
      <c r="D29" s="103"/>
      <c r="E29" s="103"/>
    </row>
    <row r="30" spans="1:15" ht="72" customHeight="1" x14ac:dyDescent="0.3">
      <c r="A30" s="878"/>
      <c r="B30" s="103"/>
      <c r="C30" s="103"/>
      <c r="D30" s="103"/>
      <c r="E30" s="103"/>
    </row>
    <row r="31" spans="1:15" s="4" customFormat="1" ht="18" customHeight="1" thickBot="1" x14ac:dyDescent="0.35">
      <c r="A31" s="101"/>
      <c r="B31" s="106"/>
      <c r="C31" s="198" t="s">
        <v>1</v>
      </c>
      <c r="D31" s="199"/>
      <c r="E31" s="200" t="s">
        <v>2</v>
      </c>
      <c r="F31" s="200" t="s">
        <v>3</v>
      </c>
      <c r="G31" s="198" t="s">
        <v>4</v>
      </c>
      <c r="H31" s="198" t="s">
        <v>5</v>
      </c>
      <c r="I31" s="198" t="s">
        <v>6</v>
      </c>
      <c r="J31" s="201" t="s">
        <v>7</v>
      </c>
      <c r="K31" s="198" t="s">
        <v>8</v>
      </c>
      <c r="L31" s="199"/>
      <c r="M31" s="201" t="s">
        <v>283</v>
      </c>
      <c r="N31" s="201" t="s">
        <v>352</v>
      </c>
      <c r="O31" s="198" t="s">
        <v>10</v>
      </c>
    </row>
    <row r="32" spans="1:15" s="8" customFormat="1" ht="31.95" customHeight="1" x14ac:dyDescent="0.3">
      <c r="A32" s="102"/>
      <c r="B32" s="107"/>
      <c r="C32" s="19" t="s">
        <v>13</v>
      </c>
      <c r="D32" s="125" t="s">
        <v>125</v>
      </c>
      <c r="E32" s="112">
        <v>6</v>
      </c>
      <c r="F32" s="113">
        <v>4</v>
      </c>
      <c r="G32" s="38" t="s">
        <v>223</v>
      </c>
      <c r="H32" s="38" t="s">
        <v>224</v>
      </c>
      <c r="I32" s="38" t="s">
        <v>129</v>
      </c>
      <c r="J32" s="126" t="s">
        <v>221</v>
      </c>
      <c r="K32" s="25" t="s">
        <v>30</v>
      </c>
      <c r="L32" s="43"/>
      <c r="M32" s="171">
        <v>11634.6</v>
      </c>
      <c r="N32" s="164">
        <f t="shared" ref="N32:N39" si="1">ROUNDUP(M32*0.6, 0)</f>
        <v>6981</v>
      </c>
      <c r="O32" s="25" t="s">
        <v>289</v>
      </c>
    </row>
    <row r="33" spans="1:15" s="8" customFormat="1" ht="31.95" customHeight="1" x14ac:dyDescent="0.3">
      <c r="A33" s="102"/>
      <c r="B33" s="107"/>
      <c r="C33" s="20" t="s">
        <v>14</v>
      </c>
      <c r="D33" s="49" t="s">
        <v>297</v>
      </c>
      <c r="E33" s="112" t="s">
        <v>18</v>
      </c>
      <c r="F33" s="113">
        <v>8</v>
      </c>
      <c r="G33" s="381" t="s">
        <v>36</v>
      </c>
      <c r="H33" s="381" t="s">
        <v>36</v>
      </c>
      <c r="I33" s="381" t="s">
        <v>36</v>
      </c>
      <c r="J33" s="382" t="s">
        <v>353</v>
      </c>
      <c r="K33" s="25" t="s">
        <v>29</v>
      </c>
      <c r="L33" s="43"/>
      <c r="M33" s="171">
        <v>12000</v>
      </c>
      <c r="N33" s="165">
        <f t="shared" si="1"/>
        <v>7200</v>
      </c>
      <c r="O33" s="381" t="s">
        <v>36</v>
      </c>
    </row>
    <row r="34" spans="1:15" s="8" customFormat="1" ht="31.95" customHeight="1" x14ac:dyDescent="0.3">
      <c r="A34" s="102"/>
      <c r="B34" s="107"/>
      <c r="C34" s="20" t="s">
        <v>15</v>
      </c>
      <c r="D34" s="125" t="s">
        <v>218</v>
      </c>
      <c r="E34" s="112">
        <v>2</v>
      </c>
      <c r="F34" s="113">
        <v>1</v>
      </c>
      <c r="G34" s="38" t="s">
        <v>40</v>
      </c>
      <c r="H34" s="38" t="s">
        <v>56</v>
      </c>
      <c r="I34" s="38" t="s">
        <v>211</v>
      </c>
      <c r="J34" s="126" t="s">
        <v>220</v>
      </c>
      <c r="K34" s="25" t="s">
        <v>30</v>
      </c>
      <c r="L34" s="43"/>
      <c r="M34" s="171">
        <v>20056.7</v>
      </c>
      <c r="N34" s="165">
        <f>ROUNDUP(M34*0.15, 0)</f>
        <v>3009</v>
      </c>
      <c r="O34" s="25" t="s">
        <v>288</v>
      </c>
    </row>
    <row r="35" spans="1:15" s="8" customFormat="1" ht="31.95" customHeight="1" x14ac:dyDescent="0.3">
      <c r="A35" s="102"/>
      <c r="B35" s="107"/>
      <c r="C35" s="20" t="s">
        <v>16</v>
      </c>
      <c r="D35" s="94" t="s">
        <v>20</v>
      </c>
      <c r="E35" s="110" t="s">
        <v>18</v>
      </c>
      <c r="F35" s="111">
        <v>6</v>
      </c>
      <c r="G35" s="46" t="s">
        <v>36</v>
      </c>
      <c r="H35" s="46" t="s">
        <v>36</v>
      </c>
      <c r="I35" s="46" t="s">
        <v>36</v>
      </c>
      <c r="J35" s="120" t="s">
        <v>353</v>
      </c>
      <c r="K35" s="23" t="s">
        <v>29</v>
      </c>
      <c r="L35" s="41"/>
      <c r="M35" s="170">
        <v>3360</v>
      </c>
      <c r="N35" s="164">
        <f t="shared" si="1"/>
        <v>2016</v>
      </c>
      <c r="O35" s="23" t="s">
        <v>36</v>
      </c>
    </row>
    <row r="36" spans="1:15" s="8" customFormat="1" ht="31.95" customHeight="1" x14ac:dyDescent="0.3">
      <c r="A36" s="102"/>
      <c r="B36" s="107"/>
      <c r="C36" s="20" t="s">
        <v>17</v>
      </c>
      <c r="D36" s="49" t="s">
        <v>208</v>
      </c>
      <c r="E36" s="112" t="s">
        <v>294</v>
      </c>
      <c r="F36" s="113">
        <v>8</v>
      </c>
      <c r="G36" s="38" t="s">
        <v>36</v>
      </c>
      <c r="H36" s="38" t="s">
        <v>56</v>
      </c>
      <c r="I36" s="38" t="s">
        <v>36</v>
      </c>
      <c r="J36" s="126" t="s">
        <v>295</v>
      </c>
      <c r="K36" s="25" t="s">
        <v>29</v>
      </c>
      <c r="L36" s="43"/>
      <c r="M36" s="171">
        <v>2304</v>
      </c>
      <c r="N36" s="164">
        <f t="shared" si="1"/>
        <v>1383</v>
      </c>
      <c r="O36" s="25" t="s">
        <v>296</v>
      </c>
    </row>
    <row r="37" spans="1:15" s="8" customFormat="1" ht="31.95" customHeight="1" x14ac:dyDescent="0.3">
      <c r="A37" s="102"/>
      <c r="B37" s="107"/>
      <c r="C37" s="20" t="s">
        <v>46</v>
      </c>
      <c r="D37" s="125" t="s">
        <v>207</v>
      </c>
      <c r="E37" s="112" t="s">
        <v>19</v>
      </c>
      <c r="F37" s="113">
        <v>7</v>
      </c>
      <c r="G37" s="38" t="s">
        <v>36</v>
      </c>
      <c r="H37" s="38" t="s">
        <v>36</v>
      </c>
      <c r="I37" s="38" t="s">
        <v>36</v>
      </c>
      <c r="J37" s="126" t="s">
        <v>210</v>
      </c>
      <c r="K37" s="25" t="s">
        <v>29</v>
      </c>
      <c r="L37" s="43"/>
      <c r="M37" s="171">
        <v>3990</v>
      </c>
      <c r="N37" s="164">
        <f t="shared" si="1"/>
        <v>2394</v>
      </c>
      <c r="O37" s="25" t="s">
        <v>36</v>
      </c>
    </row>
    <row r="38" spans="1:15" s="8" customFormat="1" ht="31.95" customHeight="1" x14ac:dyDescent="0.3">
      <c r="A38" s="102"/>
      <c r="B38" s="107"/>
      <c r="C38" s="20" t="s">
        <v>103</v>
      </c>
      <c r="D38" s="125" t="s">
        <v>197</v>
      </c>
      <c r="E38" s="112">
        <v>5</v>
      </c>
      <c r="F38" s="113">
        <v>6</v>
      </c>
      <c r="G38" s="38" t="s">
        <v>36</v>
      </c>
      <c r="H38" s="38" t="s">
        <v>36</v>
      </c>
      <c r="I38" s="38" t="s">
        <v>36</v>
      </c>
      <c r="J38" s="126" t="s">
        <v>209</v>
      </c>
      <c r="K38" s="25" t="s">
        <v>36</v>
      </c>
      <c r="L38" s="43"/>
      <c r="M38" s="171">
        <v>2491.1999999999998</v>
      </c>
      <c r="N38" s="164">
        <f>ROUNDUP(M38*0.3, 0)</f>
        <v>748</v>
      </c>
      <c r="O38" s="25" t="s">
        <v>285</v>
      </c>
    </row>
    <row r="39" spans="1:15" s="8" customFormat="1" ht="31.95" customHeight="1" thickBot="1" x14ac:dyDescent="0.35">
      <c r="A39" s="102"/>
      <c r="B39" s="107"/>
      <c r="C39" s="239" t="s">
        <v>205</v>
      </c>
      <c r="D39" s="376" t="s">
        <v>219</v>
      </c>
      <c r="E39" s="377">
        <v>6</v>
      </c>
      <c r="F39" s="378">
        <v>2</v>
      </c>
      <c r="G39" s="243" t="s">
        <v>225</v>
      </c>
      <c r="H39" s="243" t="s">
        <v>36</v>
      </c>
      <c r="I39" s="243" t="s">
        <v>226</v>
      </c>
      <c r="J39" s="379" t="s">
        <v>222</v>
      </c>
      <c r="K39" s="244" t="s">
        <v>115</v>
      </c>
      <c r="L39" s="339"/>
      <c r="M39" s="380">
        <v>7563</v>
      </c>
      <c r="N39" s="167">
        <f t="shared" si="1"/>
        <v>4538</v>
      </c>
      <c r="O39" s="244" t="s">
        <v>290</v>
      </c>
    </row>
    <row r="40" spans="1:15" s="8" customFormat="1" ht="18" customHeight="1" x14ac:dyDescent="0.3">
      <c r="A40" s="102"/>
      <c r="B40" s="107"/>
      <c r="C40" s="107"/>
      <c r="D40" s="107"/>
      <c r="E40" s="107"/>
      <c r="O40" s="318" t="s">
        <v>385</v>
      </c>
    </row>
    <row r="41" spans="1:15" s="8" customFormat="1" ht="18" customHeight="1" x14ac:dyDescent="0.3">
      <c r="A41" s="879" t="s">
        <v>32</v>
      </c>
      <c r="B41" s="107"/>
      <c r="C41" s="107"/>
      <c r="D41" s="107"/>
      <c r="E41" s="107"/>
      <c r="O41" s="9" t="s">
        <v>389</v>
      </c>
    </row>
    <row r="42" spans="1:15" s="8" customFormat="1" ht="18" customHeight="1" x14ac:dyDescent="0.3">
      <c r="A42" s="879"/>
      <c r="B42" s="107"/>
      <c r="C42" s="107"/>
      <c r="D42" s="107"/>
      <c r="E42" s="107"/>
    </row>
    <row r="43" spans="1:15" s="8" customFormat="1" ht="18" customHeight="1" x14ac:dyDescent="0.3">
      <c r="A43" s="879"/>
      <c r="B43" s="107"/>
      <c r="C43" s="107"/>
      <c r="D43" s="107"/>
      <c r="E43" s="107"/>
    </row>
    <row r="44" spans="1:15" s="8" customFormat="1" ht="18" customHeight="1" thickBot="1" x14ac:dyDescent="0.35">
      <c r="A44" s="879"/>
      <c r="B44" s="107"/>
      <c r="C44" s="107"/>
      <c r="D44" s="107"/>
      <c r="E44" s="107"/>
    </row>
    <row r="45" spans="1:15" ht="18" customHeight="1" x14ac:dyDescent="0.3">
      <c r="A45" s="664"/>
      <c r="B45" s="663"/>
      <c r="C45" s="663"/>
      <c r="D45" s="663"/>
      <c r="E45" s="663"/>
      <c r="F45" s="663"/>
      <c r="G45" s="663"/>
      <c r="H45" s="663"/>
      <c r="I45" s="663"/>
      <c r="J45" s="663"/>
      <c r="K45" s="663"/>
      <c r="L45" s="663"/>
      <c r="M45" s="663"/>
      <c r="N45" s="663"/>
      <c r="O45" s="663"/>
    </row>
  </sheetData>
  <sheetProtection sheet="1" objects="1" scenarios="1" selectLockedCells="1"/>
  <mergeCells count="4">
    <mergeCell ref="A2:A8"/>
    <mergeCell ref="A24:A30"/>
    <mergeCell ref="A41:A44"/>
    <mergeCell ref="A19:A22"/>
  </mergeCells>
  <conditionalFormatting sqref="A1:XFD1048576">
    <cfRule type="cellIs" dxfId="29" priority="1" operator="equal">
      <formula>"N/A"</formula>
    </cfRule>
  </conditionalFormatting>
  <hyperlinks>
    <hyperlink ref="O2" location="ToC!A1" display="Return to Table of Contents"/>
    <hyperlink ref="O24" location="ToC!A1" display="Return to Table of Contents"/>
  </hyperlinks>
  <printOptions verticalCentered="1"/>
  <pageMargins left="0.5" right="0.5" top="0" bottom="0"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ToC</vt:lpstr>
      <vt:lpstr>Start</vt:lpstr>
      <vt:lpstr>Costing</vt:lpstr>
      <vt:lpstr>PIO | Workstation</vt:lpstr>
      <vt:lpstr>List</vt:lpstr>
      <vt:lpstr>PIO | Touchdown</vt:lpstr>
      <vt:lpstr>PIO | Focus</vt:lpstr>
      <vt:lpstr>PIE | Focus</vt:lpstr>
      <vt:lpstr>PIE | Study</vt:lpstr>
      <vt:lpstr>SI | Phone</vt:lpstr>
      <vt:lpstr>SI | Reflection</vt:lpstr>
      <vt:lpstr>CO | Chat</vt:lpstr>
      <vt:lpstr>CO | Huddle</vt:lpstr>
      <vt:lpstr>CO | Lounge</vt:lpstr>
      <vt:lpstr>CO | Teaming</vt:lpstr>
      <vt:lpstr>CE | Meeting</vt:lpstr>
      <vt:lpstr>CE | Project</vt:lpstr>
      <vt:lpstr>CE | Work</vt:lpstr>
      <vt:lpstr>SS | Filing</vt:lpstr>
      <vt:lpstr>SS | Lockers</vt:lpstr>
    </vt:vector>
  </TitlesOfParts>
  <Company>Government of Canada\Gouvernement du Canada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Lackner</dc:creator>
  <cp:lastModifiedBy>Jonathan Lackner</cp:lastModifiedBy>
  <cp:lastPrinted>2020-11-03T20:27:27Z</cp:lastPrinted>
  <dcterms:created xsi:type="dcterms:W3CDTF">2020-10-13T14:30:35Z</dcterms:created>
  <dcterms:modified xsi:type="dcterms:W3CDTF">2020-12-08T17:27:34Z</dcterms:modified>
</cp:coreProperties>
</file>