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andrew.reid\Documents\RCC\4.2\Final\"/>
    </mc:Choice>
  </mc:AlternateContent>
  <xr:revisionPtr revIDLastSave="0" documentId="13_ncr:1_{C77730C9-C9E1-478F-A879-0EBFE45FA9BD}" xr6:coauthVersionLast="47" xr6:coauthVersionMax="47" xr10:uidLastSave="{00000000-0000-0000-0000-000000000000}"/>
  <bookViews>
    <workbookView xWindow="-108" yWindow="-108" windowWidth="23256" windowHeight="12456" tabRatio="796"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YoR, IF(tbl_Activities[Start Year]="End of Analytical Period", YoR+Time-1, tbl_Activities[Start Year])),  _xlpm.End, IF(tbl_Activities[End Year]="Start of Analytical Period", YoR, IF(tbl_Activities[End Year]="End of Analytical Period", YoR+Time-1,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Counts">Stakeholders!$M$5</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egativeFrequency">--(tbl_Activities[[#This Row],[Annual Frequency]]&lt;0)</definedName>
    <definedName name="CheckNegativeInput" comment="Checks Capital: Number of Units, Capital: Unit Price, Labour: Time Spent (Hours)">--((IF(tbl_Activities[[#This Row],[Capital or Labour]]="Capital", --(tbl_Activities[[#This Row],[Capital: Number of Units]]&lt;0)+--(tbl_Activities[[#This Row],[Capital: Unit Price]]&lt;0), 0)+IF(tbl_Activities[[#This Row],[Capital or Labour]]="Labour", --(tbl_Activities[[#This Row],[Labour: Time Spent (hours)]]&lt;0), 0))&gt;0)</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YoR, IF(tbl_Activities[[#This Row],[Start Year]]="End of Analytical Period", YoR+Time-1, tbl_Activities[[#This Row],[Start Year]])), _xlpm.End, IF(tbl_Activities[[#This Row],[End Year]]="Start of Analytical Period", YoR, IF(tbl_Activities[[#This Row],[End Year]]="End of Analytical Period", YoR+Time-1,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_xlfn.TAKE(_xlfn.ANCHORARRAY(All!#REF!),,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_xlfn.TAKE(_xlfn.ANCHORARRAY(All!#REF!),, -NGroups)</definedName>
    <definedName name="Groups">_xlfn.UNIQUE(_xlfn._xlws.FILTER(tbl_Stakeholders[Stakeholder Group], tbl_Stakeholders[Stakeholder Group]&lt;&gt;""))</definedName>
    <definedName name="GrowthFormula">IFERROR(IF(COUNTA(tbl_Stakeholders[Stakeholder Group])=0, "", _xlfn.MAKEARRAY(ROWS(_xlfn._xlws.FILTER(tbl_Stakeholders[], (tbl_Stakeholders[Stakeholder Group]&lt;&gt;"")*(tbl_Stakeholders[Automatic or Manual Growth]&lt;&gt;"Manual")))*5, Time, _xlfn.LAMBDA(_xlpm.r,_xlpm.c, IFERROR(_xlfn.LET( _xlpm.ThisGroup, MATCH(INDEX(_xlfn.ANCHORARRAY(Stakeholders!$M$6), _xlpm.r), tbl_Stakeholders[Stakeholder Group], 0), _xlpm.x, INDEX(tbl_Stakeholders[Non-business Count], _xlpm.ThisGroup)*(1+INDEX(tbl_Stakeholders[Non-business Growth Rate], _xlpm.ThisGroup))^INDEX(_xlfn.ANCHORARRAY(Stakeholders!$P$4),, _xlpm.c), _xlpm.y, INDEX(tbl_Stakeholders[Small Business Count], _xlpm.ThisGroup)*(1+INDEX(tbl_Stakeholders[Small Business Growth Rate], _xlpm.ThisGroup))^INDEX(_xlfn.ANCHORARRAY(Stakeholders!$P$4),,_xlpm.c), _xlpm.z, INDEX(tbl_Stakeholders[Med/Large Business Count], _xlpm.ThisGroup)*(1+INDEX(tbl_Stakeholders[Med/Large Business Growth Rate], _xlpm.ThisGroup))^INDEX(_xlfn.ANCHORARRAY(Stakeholders!$P$4),,_xlpm.c), IF(INDEX(_xlfn.ANCHORARRAY(Stakeholders!$N$6), _xlpm.r)="Non-business Count", _xlpm.x, IF(INDEX(_xlfn.ANCHORARRAY(Stakeholders!$N$6), _xlpm.r)="Small Business Count", _xlpm.y, IF(INDEX(_xlfn.ANCHORARRAY(Stakeholders!$N$6), _xlpm.r)="Med/Large Business Count", _xlpm.z, IF(INDEX(_xlfn.ANCHORARRAY(Stakeholders!$N$6), _xlpm.r)="Total Business Count", _xlpm.y+_xlpm.z, IF(INDEX(_xlfn.ANCHORARRAY(Stakeholders!$N$6), _xlpm.r)="Total Stakeholder Count", _xlpm.x+_xlpm.y+_xlpm.z)))))), "")))), "")</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AG">_xlfn.ANCHORARRAY(All!$H$2)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Activities!$B$15:$B$16</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Year]-YoR+1, IF(--(tbl_Activities[Start Year]=_xlpm.End)+--(tbl_Activities[End Year]=YoR+Time-1)=2, 1, IF(tbl_Activities[End Year]=_xlpm.End, YoR+Time-tbl_Activities[Start Year], IF(--(tbl_Activities[Start Year]=_xlpm.End)+--(tbl_Activities[End Year]=_xlpm.Start)=2, 0, IF(tbl_Activities[Start Year]&gt;tbl_Activities[End Year], 0, IF(--(tbl_Activities[End Year]=_xlpm.Start)+--(tbl_Activities[Start Year]=YoR)=2,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tbl_Stakeholders[[#Headers],[Stakeholder Group]]</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Mne">IF(tbl_Msc="", "", _xlfn.LET(_xlpm.x, _xlfn.DROP(tbl_Msc, 0, 2), _xlfn.HSTACK(_xlfn.TAKE(tbl_Msc, , 2), _xlfn.MAKEARRAY(ROWS(tbl_Msc), Time+1, _xlfn.LAMBDA(_xlpm.r,_xlpm.c, IF(_xlpm.c=1, 0, IFERROR(INDEX(_xlpm.x, _xlpm.r, _xlpm.c)-INDEX(_xlpm.x, _xlpm.r, _xlpm.c-1), 0)))))))</definedName>
    <definedName name="tbl_Mne_NZ" comment="Manual entry (M) of New Entrants (ne)">IF(tbl_Msc="", "", _xlfn.LET(_xlpm.x, _xlfn.DROP(tbl_Msc, 0, 2), _xlfn.HSTACK(_xlfn.TAKE(tbl_Msc, , 2), _xlfn.MAKEARRAY(ROWS(tbl_Msc), Time+1, _xlfn.LAMBDA(_xlpm.r,_xlpm.c, IF(_xlpm.c=1, 0, IF(INDEX(_xlpm.x, _xlpm.r, _xlpm.c)&gt;INDEX(_xlpm.x, _xlpm.r, _xlpm.c-1), INDEX(_xlpm.x, _xlpm.r, _xlpm.c)-INDEX(_xlpm.x, _xlpm.r, _xlpm.c-1), 0)))))))</definedName>
    <definedName name="tbl_Msc" comment="Manual (M) Stakeholder Count (sc)">IFERROR(_xlfn.LET(_xlpm.a, _xlfn._xlws.FILTER(INDEX(Stakeholders!$M$5:$CZ$500,_xlfn.SEQUENCE(ROWS(_xlfn.ANCHORARRAY(Stakeholders!$M$5))),_xlfn.SEQUENCE(,Time+3)), IFERROR(INDEX(tbl_Stakeholders[Automatic or Manual Growth], MATCH(INDEX(_xlfn.ANCHORARRAY(Stakeholders!$M$5),, 1), tbl_Stakeholders[Stakeholder Group], 0))="Manual", 0)), IF(ISBLANK(_xlpm.a), "blank", _xlpm.a)), "")</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_xlfn.TAKE(_xlfn.ANCHORARRAY(All!#REF!),,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s_since_2012">PVBaseYear-2012</definedName>
    <definedName name="YoR" comment="Year of Registration">Initiative!$D$11</definedName>
    <definedName name="Yrs">_xlfn.SEQUENCE(,Time, YoR)</definedName>
    <definedName name="YrsHdr_D">_xlfn.HSTACK(_xlfn.SEQUENCE(, Time, YoR), "Total", "Annualized")</definedName>
    <definedName name="YrsHdr_U">_xlfn.HSTACK(_xlfn.SEQUENCE(, Time, YoR),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A12" i="6" l="1" a="1"/>
  <c r="A12" i="6" s="1"/>
  <c r="B15" i="4" a="1"/>
  <c r="B15" i="4" s="1"/>
  <c r="B14" i="18" a="1"/>
  <c r="B14" i="18" s="1"/>
  <c r="A9" i="8" a="1"/>
  <c r="A9" i="8" s="1"/>
  <c r="A2" i="10" l="1" a="1"/>
  <c r="A2" i="10" s="1"/>
  <c r="F11" i="8" l="1"/>
  <c r="B6" i="8" l="1" a="1"/>
  <c r="B6" i="8" s="1"/>
  <c r="F10" i="8" l="1"/>
  <c r="M5" i="8" s="1" a="1"/>
  <c r="M5" i="8" s="1"/>
  <c r="C6" i="52"/>
  <c r="BU2" i="10" a="1"/>
  <c r="BU2" i="10" s="1"/>
  <c r="B45" i="9"/>
  <c r="B44" i="9"/>
  <c r="B38" i="9"/>
  <c r="B37" i="9"/>
  <c r="B31" i="9"/>
  <c r="B30" i="9"/>
  <c r="P5" i="8" l="1" a="1"/>
  <c r="P5" i="8" s="1"/>
  <c r="C8" i="52"/>
  <c r="C9" i="52"/>
  <c r="C7" i="52"/>
  <c r="O6" i="10" l="1" a="1"/>
  <c r="O6" i="10" s="1"/>
  <c r="L5" i="8" l="1" a="1"/>
  <c r="L5" i="8" s="1"/>
  <c r="O5" i="10" a="1"/>
  <c r="O5" i="10" s="1"/>
  <c r="C5" i="19"/>
  <c r="M3" i="8" l="1"/>
  <c r="D23" i="51" a="1"/>
  <c r="D23" i="51" s="1"/>
  <c r="C6" i="49" l="1"/>
  <c r="K2" i="10" a="1"/>
  <c r="K2" i="10" s="1"/>
  <c r="L2" i="10" s="1" a="1"/>
  <c r="L2" i="10" s="1"/>
  <c r="M2" i="10" s="1" a="1"/>
  <c r="M2" i="10" s="1"/>
  <c r="C8" i="49"/>
  <c r="C9" i="49"/>
  <c r="C7" i="49"/>
  <c r="V5" i="10" l="1" a="1"/>
  <c r="V5" i="10" s="1"/>
  <c r="AK5" i="10" s="1" a="1"/>
  <c r="AK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X5" i="10" a="1"/>
  <c r="X5" i="10" s="1"/>
  <c r="Z5" i="10" a="1"/>
  <c r="Z5" i="10" s="1"/>
  <c r="AB5" i="10" a="1"/>
  <c r="AB5" i="10" s="1"/>
  <c r="W5" i="10" a="1"/>
  <c r="W5" i="10" s="1"/>
  <c r="AM5" i="10" s="1" a="1"/>
  <c r="AM5" i="10" s="1"/>
  <c r="M2" i="22" l="1" a="1"/>
  <c r="M2" i="22" s="1"/>
  <c r="F2" i="22" a="1"/>
  <c r="AF2" i="22" a="1"/>
  <c r="AF2" i="22" s="1"/>
  <c r="H2" i="22" a="1"/>
  <c r="H2" i="22" s="1"/>
  <c r="I2" i="22" a="1"/>
  <c r="I2" i="22" s="1"/>
  <c r="AA2" i="22" a="1"/>
  <c r="AA2" i="22" s="1"/>
  <c r="AB2" i="22" a="1"/>
  <c r="AB2" i="22" s="1"/>
  <c r="C2" i="22" a="1"/>
  <c r="C2" i="22" s="1"/>
  <c r="Z2" i="22" a="1"/>
  <c r="Z2" i="22" s="1"/>
  <c r="B2" i="22" a="1"/>
  <c r="B2" i="22" s="1"/>
  <c r="G2" i="22" a="1"/>
  <c r="G2" i="22" s="1"/>
  <c r="D2" i="22" a="1"/>
  <c r="D2" i="22" s="1"/>
  <c r="AC5" i="10" a="1"/>
  <c r="AC5" i="10" s="1"/>
  <c r="AA5" i="10" a="1"/>
  <c r="AA5" i="10" s="1"/>
  <c r="J2" i="22" l="1" a="1"/>
  <c r="J2" i="22" s="1"/>
  <c r="F2" i="22"/>
  <c r="AG5" i="10" a="1"/>
  <c r="AG5" i="10" s="1"/>
  <c r="AH5" i="10" s="1" a="1"/>
  <c r="AH5" i="10" s="1"/>
  <c r="AE5" i="10" a="1"/>
  <c r="AE5" i="10" s="1"/>
  <c r="AE2" i="22" l="1" a="1"/>
  <c r="AE2" i="22" s="1"/>
  <c r="E2" i="22" a="1"/>
  <c r="E2" i="22" s="1"/>
  <c r="AC2" i="22" a="1"/>
  <c r="AC2" i="22" s="1"/>
  <c r="AD2" i="22" a="1"/>
  <c r="AD2" i="22" s="1"/>
  <c r="L2" i="22" l="1" a="1"/>
  <c r="L2" i="22" s="1"/>
  <c r="K2" i="22" a="1"/>
  <c r="K2" i="22" s="1"/>
  <c r="E2" i="10" a="1"/>
  <c r="E2" i="10" s="1"/>
  <c r="C2" i="10" a="1"/>
  <c r="C2" i="10" s="1"/>
  <c r="O2" i="22" l="1" a="1"/>
  <c r="O2" i="22" s="1"/>
  <c r="AJ5" i="10" a="1"/>
  <c r="AJ5" i="10" s="1"/>
  <c r="BB5" i="10" l="1" a="1"/>
  <c r="BB5" i="10" s="1"/>
  <c r="BA5" i="10" a="1"/>
  <c r="BA5" i="10" s="1"/>
  <c r="AX5" i="10" a="1"/>
  <c r="AX5" i="10" s="1"/>
  <c r="AW5" i="10" a="1"/>
  <c r="AW5" i="10" s="1"/>
  <c r="D9" i="1" a="1"/>
  <c r="D9" i="1" s="1"/>
  <c r="R14" i="10"/>
  <c r="S26" i="10" l="1"/>
  <c r="R10" i="10"/>
  <c r="R5" i="10" s="1"/>
  <c r="C6" i="9"/>
  <c r="C43" i="9" l="1" a="1"/>
  <c r="C43" i="9" s="1"/>
  <c r="C36" i="9" a="1"/>
  <c r="C36" i="9" s="1"/>
  <c r="C29" i="9" a="1"/>
  <c r="C29" i="9" s="1"/>
  <c r="M1" i="22" l="1"/>
  <c r="C9" i="19" l="1"/>
  <c r="C6" i="19" l="1"/>
  <c r="C8" i="19"/>
  <c r="C7" i="19"/>
  <c r="O4" i="10" l="1"/>
  <c r="O3" i="10" l="1"/>
  <c r="AZ5" i="10" l="1" a="1"/>
  <c r="AZ5" i="10" s="1"/>
  <c r="AF5" i="10" a="1"/>
  <c r="AF5" i="10" s="1"/>
  <c r="BF5" i="10" l="1" a="1"/>
  <c r="BF5" i="10" s="1"/>
  <c r="AV5" i="10" a="1"/>
  <c r="AV5" i="10" s="1"/>
  <c r="BC5" i="10" a="1"/>
  <c r="BC5" i="10" s="1"/>
  <c r="AU5" i="10" a="1"/>
  <c r="AU5" i="10" s="1"/>
  <c r="BE5" i="10" a="1"/>
  <c r="BE5" i="10" s="1"/>
  <c r="AT5" i="10" a="1"/>
  <c r="AT5" i="10" s="1"/>
  <c r="AS5" i="10" a="1"/>
  <c r="AS5" i="10" s="1"/>
  <c r="BD5" i="10" a="1"/>
  <c r="BD5" i="10" s="1"/>
  <c r="AY5" i="10" a="1"/>
  <c r="AY5" i="10" s="1"/>
  <c r="BH5" i="10" a="1"/>
  <c r="BH5" i="10" s="1"/>
  <c r="BG5" i="10" a="1"/>
  <c r="BG5" i="10" s="1"/>
  <c r="T2" i="22" l="1" a="1"/>
  <c r="T2" i="22" s="1"/>
  <c r="B14" i="19" a="1"/>
  <c r="B14" i="19" s="1"/>
  <c r="B17" i="19" l="1" a="1"/>
  <c r="B17" i="19" s="1"/>
  <c r="P2" i="22" l="1" a="1"/>
  <c r="P2" i="22" s="1"/>
  <c r="U2" i="22" l="1" a="1"/>
  <c r="U2" i="22" s="1"/>
  <c r="V2" i="22" s="1" a="1"/>
  <c r="V2" i="22" s="1"/>
  <c r="Q2" i="22" a="1"/>
  <c r="Q2" i="22" s="1"/>
  <c r="X2" i="22" a="1"/>
  <c r="X2" i="22" s="1"/>
  <c r="C37" i="9" l="1" a="1"/>
  <c r="C37" i="9" s="1"/>
  <c r="C30" i="9" a="1"/>
  <c r="C30" i="9" s="1"/>
  <c r="AI5" i="10" a="1"/>
  <c r="AI5" i="10" s="1"/>
  <c r="C38" i="9" a="1"/>
  <c r="C38" i="9" s="1"/>
  <c r="C31" i="9" a="1"/>
  <c r="C31" i="9" s="1"/>
  <c r="C32" i="9" l="1" a="1"/>
  <c r="C32" i="9" s="1"/>
  <c r="M32" i="9" s="1"/>
  <c r="M30" i="9"/>
  <c r="M31" i="9"/>
  <c r="N31" i="9" s="1"/>
  <c r="C33" i="9" a="1"/>
  <c r="C33" i="9" s="1"/>
  <c r="M33" i="9" s="1"/>
  <c r="N33" i="9" s="1"/>
  <c r="AP5" i="10" a="1"/>
  <c r="AP5" i="10" s="1"/>
  <c r="AN5" i="10" a="1"/>
  <c r="AN5" i="10" s="1"/>
  <c r="AO5" i="10" a="1"/>
  <c r="AO5" i="10" s="1"/>
  <c r="AQ5" i="10" a="1"/>
  <c r="AQ5" i="10" s="1"/>
  <c r="C40" i="9" a="1"/>
  <c r="C40" i="9" s="1"/>
  <c r="M38" i="9"/>
  <c r="N38" i="9" s="1"/>
  <c r="C45" i="9" a="1"/>
  <c r="C45" i="9" s="1"/>
  <c r="M45" i="9" s="1"/>
  <c r="N45" i="9" s="1"/>
  <c r="C39" i="9" a="1"/>
  <c r="C39" i="9" s="1"/>
  <c r="M37" i="9"/>
  <c r="C44" i="9" a="1"/>
  <c r="C44" i="9" s="1"/>
  <c r="M44" i="9" s="1"/>
  <c r="C46" i="9" l="1" a="1"/>
  <c r="C46" i="9" s="1"/>
  <c r="M46" i="9" s="1"/>
  <c r="M39" i="9"/>
  <c r="AR5" i="10" a="1"/>
  <c r="AR5" i="10" s="1"/>
  <c r="BI5" i="10" s="1" a="1"/>
  <c r="BI5" i="10" s="1"/>
  <c r="BL5" i="10" s="1" a="1"/>
  <c r="BL5" i="10" s="1"/>
  <c r="BK5" i="10" a="1"/>
  <c r="BK5" i="10" s="1"/>
  <c r="C47" i="9" a="1"/>
  <c r="C47" i="9" s="1"/>
  <c r="M47" i="9" s="1"/>
  <c r="M40" i="9"/>
  <c r="N40" i="9" s="1"/>
  <c r="N47" i="9" l="1"/>
  <c r="C15" i="9"/>
  <c r="BM5" i="10" a="1"/>
  <c r="BN4" i="10" l="1"/>
  <c r="BM5" i="10"/>
  <c r="C17" i="9"/>
  <c r="C16" i="9"/>
  <c r="C18" i="9" l="1"/>
  <c r="R13" i="10"/>
  <c r="R12" i="10"/>
  <c r="R4" i="10" l="1"/>
  <c r="R2" i="10" s="1"/>
  <c r="B24" i="9" s="1"/>
  <c r="N2" i="22" l="1" a="1"/>
  <c r="N2" i="22" s="1"/>
  <c r="S2" i="22" l="1" a="1"/>
  <c r="S2" i="22" s="1"/>
  <c r="W2" i="22" s="1" a="1"/>
  <c r="W2" i="22" s="1"/>
  <c r="R2" i="22" a="1"/>
  <c r="R2" i="22" s="1"/>
  <c r="U13" i="6" l="1" a="1"/>
  <c r="U13" i="6" s="1"/>
  <c r="U14" i="6" a="1"/>
  <c r="U14" i="6" s="1"/>
  <c r="B19" i="49" a="1"/>
  <c r="B19" i="49" s="1"/>
  <c r="B19" i="52" a="1"/>
  <c r="B19" i="52" s="1"/>
  <c r="B21" i="9" l="1" a="1"/>
  <c r="B21" i="9" s="1"/>
  <c r="B17" i="52" a="1"/>
  <c r="B17" i="52" s="1"/>
  <c r="B15" i="19" a="1"/>
  <c r="B15" i="19" s="1"/>
  <c r="B17" i="49" a="1"/>
  <c r="B17"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<sst xmlns="http://schemas.openxmlformats.org/spreadsheetml/2006/main" count="380" uniqueCount="316">
  <si>
    <t xml:space="preserve">Version: </t>
  </si>
  <si>
    <t>Version date (yyyy-mm-dd):</t>
  </si>
  <si>
    <t>GCwiki link:</t>
  </si>
  <si>
    <t>https://wiki.gccollab.ca/File:RCCV4_Beta.xlsx</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</si>
  <si>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</si>
  <si>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</si>
  <si>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</si>
  <si>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</si>
  <si>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</si>
  <si>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</si>
  <si>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</si>
  <si>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</si>
  <si>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</si>
  <si>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</si>
  <si>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</si>
  <si>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</si>
  <si>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</si>
  <si>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</si>
  <si>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</si>
  <si>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</si>
  <si>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</si>
  <si>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</si>
  <si>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</si>
  <si>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1: On the 'Initiative' sheet, enter information pertaining to the regulatory change.</t>
  </si>
  <si>
    <t>Step 2: On the 'Stakeholders' sheet, enter stakeholder group names, counts, and growth rates at the start of the analytical period.</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</si>
  <si>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</si>
  <si>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</si>
  <si>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</si>
  <si>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</si>
  <si>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</si>
  <si>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</si>
  <si>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</si>
  <si>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</si>
  <si>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</si>
  <si>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</si>
  <si>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</si>
  <si>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</si>
  <si>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</si>
  <si>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</si>
  <si>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</si>
  <si>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</si>
  <si>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</si>
  <si>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</si>
  <si>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Annual Stakeholder Count</t>
  </si>
  <si>
    <t>Stakeholder Group</t>
  </si>
  <si>
    <t>Non-business Count</t>
  </si>
  <si>
    <t>Small Business Count</t>
  </si>
  <si>
    <t>Med/Large Business Count</t>
  </si>
  <si>
    <t>Total Business Count</t>
  </si>
  <si>
    <t>Automatic or Manual Growth</t>
  </si>
  <si>
    <t>Non-business Growth Rate</t>
  </si>
  <si>
    <t>Small Business Growth Rate</t>
  </si>
  <si>
    <t>Med/Large Business Growth Rate</t>
  </si>
  <si>
    <t>Assumptions/Notes</t>
  </si>
  <si>
    <t>Step 3: Activities</t>
  </si>
  <si>
    <t>Activity</t>
  </si>
  <si>
    <t>Administrative or Compliance</t>
  </si>
  <si>
    <t>Cost or Benefit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</si>
  <si>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</si>
  <si>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</si>
  <si>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</si>
  <si>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</si>
  <si>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</si>
  <si>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</si>
  <si>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</si>
  <si>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</si>
  <si>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</si>
  <si>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</si>
  <si>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</si>
  <si>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</si>
  <si>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</si>
  <si>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</si>
  <si>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</si>
  <si>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(Hourly Wage Without Overhead)</t>
  </si>
  <si>
    <t>Error Check</t>
  </si>
  <si>
    <t>Administrative</t>
  </si>
  <si>
    <t>One-for-one</t>
  </si>
  <si>
    <t>Business count, time period, units of measurement:</t>
  </si>
  <si>
    <t>Count of all businesses at the start of the analytical period:</t>
  </si>
  <si>
    <t>Number of years:</t>
  </si>
  <si>
    <t>Price year:</t>
  </si>
  <si>
    <t>Present-value base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</si>
  <si>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</si>
  <si>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</si>
  <si>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</si>
  <si>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</si>
  <si>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</si>
  <si>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</si>
  <si>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and positive values represent net benefits</t>
  </si>
  <si>
    <t>Draft RIAS text (revise as needed)</t>
  </si>
  <si>
    <t>Annual breakdown:</t>
  </si>
  <si>
    <t>IN</t>
  </si>
  <si>
    <t>Impact</t>
  </si>
  <si>
    <t>Total</t>
  </si>
  <si>
    <t>Annualized</t>
  </si>
  <si>
    <t>N/A</t>
  </si>
  <si>
    <t>Undiscounted (2012 price year)</t>
  </si>
  <si>
    <t>Discounted (2012 price year, 7% discount rate, 2012 discount base year)</t>
  </si>
  <si>
    <t>OUT</t>
  </si>
  <si>
    <t>NET</t>
  </si>
  <si>
    <t>Small Business Lens</t>
  </si>
  <si>
    <t>Variable</t>
  </si>
  <si>
    <t>Value</t>
  </si>
  <si>
    <t>Instructions</t>
  </si>
  <si>
    <t>Count of small businesses at the start of the analytical period:</t>
  </si>
  <si>
    <t>Do not change</t>
  </si>
  <si>
    <t>Order of magnitude:</t>
  </si>
  <si>
    <t>Single</t>
  </si>
  <si>
    <t>Input required</t>
  </si>
  <si>
    <t>Sort tables by:</t>
  </si>
  <si>
    <t>Default</t>
  </si>
  <si>
    <t>Annual Impact</t>
  </si>
  <si>
    <t>Breakdown:</t>
  </si>
  <si>
    <t>Group tables by:</t>
  </si>
  <si>
    <t>Discounting</t>
  </si>
  <si>
    <t>Display years in:</t>
  </si>
  <si>
    <t>Rows</t>
  </si>
  <si>
    <t>Note: negative net values represent net costs and positive net values represent net benefits.</t>
  </si>
  <si>
    <t>Draft Cost-benefit Statement (revise as needed before adding to the RIAS)</t>
  </si>
  <si>
    <t>Other relevant year 1:</t>
  </si>
  <si>
    <t>Input optional</t>
  </si>
  <si>
    <t>Other relevant year 2:</t>
  </si>
  <si>
    <t>Other relevant year 3:</t>
  </si>
  <si>
    <t xml:space="preserve"> </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</si>
  <si>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</si>
  <si>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</si>
  <si>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</si>
  <si>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</si>
  <si>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</si>
  <si>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</si>
  <si>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</si>
  <si>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</si>
  <si>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</si>
  <si>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</si>
  <si>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</si>
  <si>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</si>
  <si>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</si>
  <si>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</si>
  <si>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</si>
  <si>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</si>
  <si>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</si>
  <si>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</si>
  <si>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</si>
  <si>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</si>
  <si>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</si>
  <si>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</si>
  <si>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</si>
  <si>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</si>
  <si>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</si>
  <si>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</si>
  <si>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</si>
  <si>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</si>
  <si>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</si>
  <si>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</si>
  <si>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</si>
  <si>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</si>
  <si>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</si>
  <si>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</si>
  <si>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</si>
  <si>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</si>
  <si>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</si>
  <si>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</si>
  <si>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</si>
  <si>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</si>
  <si>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</si>
  <si>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</si>
  <si>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</si>
  <si>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</si>
  <si>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</si>
  <si>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</si>
  <si>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</si>
  <si>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</si>
  <si>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</si>
  <si>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</si>
  <si>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</si>
  <si>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</si>
  <si>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</si>
  <si>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</si>
  <si>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</si>
  <si>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</si>
  <si>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</si>
  <si>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Custom Wage #1</t>
  </si>
  <si>
    <t>Statistics Canada. Table 18-10-0005-01  Consumer Price Index, annual average, not seasonally adjusted</t>
  </si>
  <si>
    <t>Year</t>
  </si>
  <si>
    <t>Index</t>
  </si>
  <si>
    <t>Activity Number</t>
  </si>
  <si>
    <t>Activity Description</t>
  </si>
  <si>
    <t>Administrative/ Compliance</t>
  </si>
  <si>
    <t>Cost/ Benefit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</si>
  <si>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</si>
  <si>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</si>
  <si>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</si>
  <si>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</si>
  <si>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</si>
  <si>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</si>
  <si>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</si>
  <si>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</si>
  <si>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</si>
  <si>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</si>
  <si>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</si>
  <si>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</si>
  <si>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</si>
  <si>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</si>
  <si>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</si>
  <si>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</si>
  <si>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</si>
  <si>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</si>
  <si>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</si>
  <si>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</si>
  <si>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</si>
  <si>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</si>
  <si>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</si>
  <si>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</si>
  <si>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Frequency drop-down list</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</si>
  <si>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</si>
  <si>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</si>
  <si>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</si>
  <si>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</si>
  <si>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</si>
  <si>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</si>
  <si>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</si>
  <si>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</si>
  <si>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</si>
  <si>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</si>
  <si>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</si>
  <si>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Dynamic drop-down for annual impact breakdown method</t>
  </si>
  <si>
    <t>Name</t>
  </si>
  <si>
    <t>Value / Formula</t>
  </si>
  <si>
    <t>Explanation</t>
  </si>
  <si>
    <t>AF_7_10</t>
  </si>
  <si>
    <t>Annualization factor locked at the parameters needed for one-for-one section</t>
  </si>
  <si>
    <t>Individual Break Down</t>
  </si>
  <si>
    <t>Total Impact (↑)</t>
  </si>
  <si>
    <t>AF</t>
  </si>
  <si>
    <t>Annualization factor that adjusts with discount rate and analytical period length</t>
  </si>
  <si>
    <t>Activity Name</t>
  </si>
  <si>
    <t>Cost / Benefit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</si>
  <si>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</si>
  <si>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</si>
  <si>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</si>
  <si>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</si>
  <si>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</si>
  <si>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</si>
  <si>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</si>
  <si>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</si>
  <si>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</si>
  <si>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</si>
  <si>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</si>
  <si>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</si>
  <si>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</si>
  <si>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</si>
  <si>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</si>
  <si>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</si>
  <si>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</si>
  <si>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</si>
  <si>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</si>
  <si>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</si>
  <si>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</si>
  <si>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</si>
  <si>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</si>
  <si>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</si>
  <si>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</si>
  <si>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</si>
  <si>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</si>
  <si>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</si>
  <si>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</si>
  <si>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</si>
  <si>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</si>
  <si>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</si>
  <si>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</si>
  <si>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</si>
  <si>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Total Impact (↓)</t>
  </si>
  <si>
    <t>APPLYTOALL</t>
  </si>
  <si>
    <t xml:space="preserve">Creates a copy-pasted matrix that applies the details of an already-filled-out activity to all other stakeholders from the Stakeholder Profile sheet. Enter this a few rows below the activities table, then copy paste the values into the table. </t>
  </si>
  <si>
    <t>Activity (↑az)</t>
  </si>
  <si>
    <t>Stakeholder Group (↑az)</t>
  </si>
  <si>
    <t>APPLYTOMANY</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</si>
  <si>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</si>
  <si>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The one-for-one rule does not apply as the regulation is made by an independent regulatory authority and is outside of the scope of the rule.</t>
  </si>
  <si>
    <t>Activity (↓za)</t>
  </si>
  <si>
    <t>Stakeholder Group (↓za)</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</si>
  <si>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</si>
  <si>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</si>
  <si>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</si>
  <si>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</si>
  <si>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</si>
  <si>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</si>
  <si>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</si>
  <si>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</si>
  <si>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</si>
  <si>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</si>
  <si>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</si>
  <si>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</si>
  <si>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</si>
  <si>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</si>
  <si>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</si>
  <si>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</si>
  <si>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</si>
  <si>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</si>
  <si>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</si>
  <si>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</si>
  <si>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</si>
  <si>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</si>
  <si>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</si>
  <si>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</si>
  <si>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</si>
  <si>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</si>
  <si>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</si>
  <si>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</si>
  <si>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</si>
  <si>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</si>
  <si>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</si>
  <si>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</si>
  <si>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</si>
  <si>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Simple</t>
  </si>
  <si>
    <t>Upfront or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</si>
</sst>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_-* #,##0_-;\-* #,##0_-;_-* &quot;-&quot;??_-;_-@_-"/>
    <numFmt numFmtId="171" formatCode="0.0%"/>
    <numFmt numFmtId="172" formatCode="#,##0_ ;\-#,##0\ "/>
    <numFmt numFmtId="173" formatCode="#,##0.0_ ;\-#,##0.0\ "/>
    <numFmt numFmtId="174" formatCode="#,##0.000000_ ;\-#,##0.000000\ "/>
  </numFmts>
  <fonts count="48"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sz val="11"/>
      <color rgb="FF000000"/>
      <name val="Calibri"/>
      <family val="2"/>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
      <b/>
      <sz val="11"/>
      <color rgb="FFCCDC00"/>
      <name val="Arial"/>
      <family val="2"/>
    </font>
    <font>
      <b/>
      <sz val="12"/>
      <color theme="1"/>
      <name val="Arial"/>
      <family val="2"/>
    </font>
    <font>
      <sz val="12"/>
      <color theme="1"/>
      <name val="Aptos"/>
      <family val="2"/>
    </font>
    <font>
      <sz val="11"/>
      <color rgb="FF000000"/>
      <name val="Calibri"/>
      <family val="2"/>
      <scheme val="minor"/>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6BB00"/>
        <bgColor indexed="64"/>
      </patternFill>
    </fill>
    <fill>
      <patternFill patternType="solid">
        <fgColor rgb="FF00A4DE"/>
        <bgColor indexed="64"/>
      </patternFill>
    </fill>
    <fill>
      <patternFill patternType="solid">
        <fgColor rgb="FFEAE4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8" fillId="0" borderId="0" applyNumberFormat="0" applyFill="0" applyBorder="0" applyAlignment="0" applyProtection="0"/>
    <xf numFmtId="164" fontId="3" fillId="0" borderId="0" applyFont="0" applyFill="0" applyBorder="0" applyAlignment="0" applyProtection="0"/>
  </cellStyleXfs>
  <cellXfs count="300">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7" fillId="3" borderId="0" xfId="0" applyFont="1" applyFill="1" applyAlignment="1">
      <alignment vertical="center" wrapText="1"/>
    </xf>
    <xf numFmtId="2" fontId="0" fillId="0" borderId="0" xfId="0" applyNumberFormat="1"/>
    <xf numFmtId="0" fontId="0" fillId="0" borderId="0" xfId="0" applyAlignment="1">
      <alignment wrapText="1"/>
    </xf>
    <xf numFmtId="166" fontId="10" fillId="0" borderId="1" xfId="0" applyNumberFormat="1" applyFont="1" applyBorder="1" applyAlignment="1">
      <alignment horizontal="right" vertical="center"/>
    </xf>
    <xf numFmtId="0" fontId="5" fillId="0" borderId="0" xfId="0" applyFont="1" applyAlignment="1">
      <alignment vertical="center"/>
    </xf>
    <xf numFmtId="0" fontId="0" fillId="6" borderId="0" xfId="0" applyFill="1"/>
    <xf numFmtId="0" fontId="6" fillId="0" borderId="1" xfId="0" applyFont="1" applyBorder="1" applyAlignment="1">
      <alignment horizontal="center" vertical="center" wrapText="1"/>
    </xf>
    <xf numFmtId="0" fontId="10"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0" fillId="0" borderId="0" xfId="0" applyFont="1" applyAlignment="1">
      <alignment vertical="top" wrapText="1"/>
    </xf>
    <xf numFmtId="0" fontId="15" fillId="0" borderId="1" xfId="4" applyFont="1" applyBorder="1" applyAlignment="1" applyProtection="1">
      <alignment horizontal="center" vertical="center" wrapText="1"/>
      <protection locked="0"/>
    </xf>
    <xf numFmtId="9" fontId="15" fillId="0" borderId="1" xfId="2"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xf numFmtId="0" fontId="14" fillId="0" borderId="0" xfId="0" applyFont="1"/>
    <xf numFmtId="1" fontId="15" fillId="8" borderId="1" xfId="2" applyNumberFormat="1" applyFont="1" applyFill="1" applyBorder="1" applyAlignment="1" applyProtection="1">
      <alignment horizontal="center" vertical="center" wrapText="1"/>
      <protection locked="0"/>
    </xf>
    <xf numFmtId="3" fontId="21" fillId="0" borderId="8" xfId="4" applyNumberFormat="1" applyFont="1" applyBorder="1" applyAlignment="1" applyProtection="1">
      <alignment horizontal="center" vertical="center" wrapText="1"/>
      <protection locked="0"/>
    </xf>
    <xf numFmtId="0" fontId="11" fillId="0" borderId="4" xfId="0" applyFont="1" applyBorder="1" applyAlignment="1">
      <alignment vertical="center"/>
    </xf>
    <xf numFmtId="0" fontId="11" fillId="0" borderId="4" xfId="0" applyFont="1" applyBorder="1" applyAlignment="1">
      <alignment horizontal="center" vertical="center" wrapText="1"/>
    </xf>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167" fontId="10" fillId="0" borderId="7" xfId="0" applyNumberFormat="1"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9" fontId="0" fillId="0" borderId="0" xfId="2" applyFont="1"/>
    <xf numFmtId="0" fontId="11" fillId="9" borderId="4" xfId="0" applyFont="1" applyFill="1" applyBorder="1" applyAlignment="1">
      <alignment horizontal="center" vertical="center" wrapText="1"/>
    </xf>
    <xf numFmtId="1" fontId="10" fillId="9" borderId="11"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xf>
    <xf numFmtId="0" fontId="18" fillId="0" borderId="0" xfId="0" applyFont="1" applyAlignment="1">
      <alignment vertical="center" wrapText="1"/>
    </xf>
    <xf numFmtId="166" fontId="0" fillId="0" borderId="0" xfId="0" applyNumberFormat="1"/>
    <xf numFmtId="169" fontId="0" fillId="0" borderId="0" xfId="0" applyNumberFormat="1"/>
    <xf numFmtId="0" fontId="9" fillId="0" borderId="1" xfId="0" applyFont="1" applyBorder="1" applyAlignment="1">
      <alignment horizontal="left" vertical="top" wrapText="1"/>
    </xf>
    <xf numFmtId="0" fontId="27" fillId="0" borderId="0" xfId="0" applyFont="1"/>
    <xf numFmtId="0" fontId="0" fillId="0" borderId="14" xfId="0" applyBorder="1" applyAlignment="1">
      <alignment wrapText="1"/>
    </xf>
    <xf numFmtId="0" fontId="0" fillId="0" borderId="15" xfId="0" applyBorder="1" applyAlignment="1">
      <alignment wrapText="1"/>
    </xf>
    <xf numFmtId="0" fontId="27" fillId="0" borderId="13" xfId="0" applyFont="1" applyBorder="1" applyAlignment="1">
      <alignment wrapText="1"/>
    </xf>
    <xf numFmtId="0" fontId="0" fillId="0" borderId="13" xfId="0" applyBorder="1"/>
    <xf numFmtId="0" fontId="0" fillId="0" borderId="14" xfId="0" applyBorder="1"/>
    <xf numFmtId="0" fontId="28" fillId="0" borderId="0" xfId="0" applyFont="1" applyAlignment="1">
      <alignment vertical="center"/>
    </xf>
    <xf numFmtId="0" fontId="28" fillId="0" borderId="0" xfId="0" applyFont="1" applyAlignment="1">
      <alignment vertical="center" wrapText="1"/>
    </xf>
    <xf numFmtId="2" fontId="0" fillId="0" borderId="0" xfId="0" applyNumberFormat="1" applyAlignment="1">
      <alignment wrapText="1"/>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right" vertical="center" wrapText="1"/>
    </xf>
    <xf numFmtId="0" fontId="22" fillId="0" borderId="0" xfId="0" applyFont="1" applyAlignment="1">
      <alignment horizontal="left" indent="1"/>
    </xf>
    <xf numFmtId="0" fontId="10" fillId="0" borderId="0" xfId="0" applyFont="1" applyAlignment="1">
      <alignment horizontal="left" indent="1"/>
    </xf>
    <xf numFmtId="0" fontId="0" fillId="0" borderId="0" xfId="0" applyAlignment="1">
      <alignment horizontal="right" vertical="center"/>
    </xf>
    <xf numFmtId="3" fontId="29" fillId="10" borderId="7" xfId="4" applyNumberFormat="1" applyFont="1" applyFill="1" applyBorder="1" applyAlignment="1" applyProtection="1">
      <alignment horizontal="center" vertical="center" wrapText="1"/>
      <protection locked="0"/>
    </xf>
    <xf numFmtId="0" fontId="11" fillId="0" borderId="3" xfId="0" applyFont="1" applyBorder="1" applyAlignment="1">
      <alignment vertical="center"/>
    </xf>
    <xf numFmtId="0" fontId="21" fillId="9" borderId="5" xfId="4" applyFont="1" applyFill="1" applyBorder="1" applyAlignment="1">
      <alignment horizontal="left" vertical="center" wrapText="1"/>
    </xf>
    <xf numFmtId="0" fontId="21" fillId="9" borderId="7" xfId="4" applyFont="1" applyFill="1" applyBorder="1" applyAlignment="1">
      <alignment horizontal="left" vertical="center" wrapText="1"/>
    </xf>
    <xf numFmtId="0" fontId="21" fillId="0" borderId="5" xfId="4" applyFont="1" applyBorder="1" applyAlignment="1">
      <alignment horizontal="left" vertical="center" wrapText="1"/>
    </xf>
    <xf numFmtId="0" fontId="0" fillId="11" borderId="14" xfId="0" applyFill="1" applyBorder="1" applyAlignment="1">
      <alignment wrapText="1"/>
    </xf>
    <xf numFmtId="0" fontId="0" fillId="11" borderId="0" xfId="0" applyFill="1"/>
    <xf numFmtId="170" fontId="10" fillId="9" borderId="7" xfId="1" applyNumberFormat="1" applyFont="1" applyFill="1" applyBorder="1" applyAlignment="1">
      <alignment horizontal="right" vertical="center"/>
    </xf>
    <xf numFmtId="0" fontId="9" fillId="0" borderId="0" xfId="0" applyFont="1" applyAlignment="1">
      <alignment horizontal="right"/>
    </xf>
    <xf numFmtId="0" fontId="9" fillId="0" borderId="0" xfId="0" applyFont="1"/>
    <xf numFmtId="0" fontId="12" fillId="0" borderId="0" xfId="0" applyFont="1"/>
    <xf numFmtId="0" fontId="31" fillId="0" borderId="0" xfId="0" applyFont="1"/>
    <xf numFmtId="0" fontId="9" fillId="0" borderId="0" xfId="0" applyFont="1" applyAlignment="1">
      <alignment horizontal="left" vertical="center"/>
    </xf>
    <xf numFmtId="0" fontId="31" fillId="0" borderId="0" xfId="0" applyFont="1" applyAlignment="1">
      <alignment horizontal="left"/>
    </xf>
    <xf numFmtId="0" fontId="9" fillId="0" borderId="0" xfId="0" applyFont="1" applyAlignment="1">
      <alignment wrapText="1"/>
    </xf>
    <xf numFmtId="0" fontId="9"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center"/>
    </xf>
    <xf numFmtId="0" fontId="33" fillId="0" borderId="0" xfId="0" applyFont="1" applyAlignment="1">
      <alignment vertical="center"/>
    </xf>
    <xf numFmtId="0" fontId="36" fillId="0" borderId="0" xfId="5" applyFont="1" applyAlignment="1">
      <alignment vertical="center"/>
    </xf>
    <xf numFmtId="0" fontId="37" fillId="0" borderId="0" xfId="5" applyFont="1" applyAlignment="1">
      <alignment vertical="center"/>
    </xf>
    <xf numFmtId="0" fontId="9" fillId="12" borderId="1" xfId="0" applyFont="1" applyFill="1" applyBorder="1" applyAlignment="1">
      <alignment wrapText="1"/>
    </xf>
    <xf numFmtId="0" fontId="34" fillId="0" borderId="0" xfId="0" applyFont="1" applyAlignment="1">
      <alignment horizontal="right" wrapText="1"/>
    </xf>
    <xf numFmtId="0" fontId="12" fillId="0" borderId="0" xfId="0" applyFont="1" applyAlignment="1">
      <alignment horizontal="right" wrapText="1"/>
    </xf>
    <xf numFmtId="14" fontId="35" fillId="0" borderId="0" xfId="0" applyNumberFormat="1" applyFont="1" applyAlignment="1">
      <alignment horizontal="right" vertical="center" wrapText="1"/>
    </xf>
    <xf numFmtId="0" fontId="9" fillId="0" borderId="0" xfId="0" applyFont="1" applyAlignment="1">
      <alignment horizontal="right" wrapText="1"/>
    </xf>
    <xf numFmtId="14" fontId="9" fillId="0" borderId="0" xfId="0" applyNumberFormat="1" applyFont="1" applyAlignment="1">
      <alignment horizontal="left" vertical="center"/>
    </xf>
    <xf numFmtId="14" fontId="24" fillId="0" borderId="0" xfId="0" applyNumberFormat="1" applyFont="1"/>
    <xf numFmtId="0" fontId="38" fillId="0" borderId="0" xfId="0" applyFont="1" applyAlignment="1">
      <alignment horizontal="left" vertical="center"/>
    </xf>
    <xf numFmtId="0" fontId="12" fillId="4" borderId="16" xfId="0" applyFont="1" applyFill="1" applyBorder="1" applyAlignment="1">
      <alignment horizont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Alignment="1" applyProtection="1">
      <alignment horizontal="right" vertical="center"/>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10" fillId="0" borderId="0" xfId="0" applyFont="1" applyAlignment="1" applyProtection="1">
      <alignment horizontal="right" vertical="center" wrapText="1"/>
      <protection locked="0"/>
    </xf>
    <xf numFmtId="0" fontId="20" fillId="2" borderId="2" xfId="4" applyFont="1" applyFill="1" applyBorder="1" applyAlignment="1" applyProtection="1">
      <alignment horizontal="center" vertical="center" wrapText="1"/>
      <protection locked="0"/>
    </xf>
    <xf numFmtId="0" fontId="20" fillId="2" borderId="3"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3" xfId="4" applyFont="1" applyFill="1" applyBorder="1" applyAlignment="1">
      <alignment horizontal="center" vertical="center" wrapText="1"/>
    </xf>
    <xf numFmtId="14" fontId="37" fillId="0" borderId="0" xfId="5" applyNumberFormat="1" applyFont="1" applyBorder="1" applyAlignment="1">
      <alignment horizontal="left" vertical="center"/>
    </xf>
    <xf numFmtId="0" fontId="21" fillId="0" borderId="8"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171" fontId="21" fillId="0" borderId="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40" fillId="0" borderId="0" xfId="0" applyFont="1" applyAlignment="1">
      <alignment horizontal="center" vertical="center"/>
    </xf>
    <xf numFmtId="0" fontId="0" fillId="0" borderId="0" xfId="1" applyNumberFormat="1" applyFont="1" applyAlignment="1">
      <alignment horizontal="center" vertical="center"/>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left" vertical="center"/>
    </xf>
    <xf numFmtId="0" fontId="41" fillId="0" borderId="0" xfId="0" applyFont="1" applyAlignment="1" applyProtection="1">
      <alignment vertical="center"/>
      <protection locked="0"/>
    </xf>
    <xf numFmtId="0" fontId="42" fillId="0" borderId="0" xfId="0" applyFont="1" applyAlignment="1">
      <alignment wrapText="1"/>
    </xf>
    <xf numFmtId="0" fontId="10" fillId="0" borderId="8" xfId="0" applyFont="1" applyBorder="1" applyAlignment="1">
      <alignment horizontal="left" vertical="center" wrapText="1"/>
    </xf>
    <xf numFmtId="166" fontId="10" fillId="0" borderId="0" xfId="0" applyNumberFormat="1"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166" fontId="10" fillId="0" borderId="0" xfId="0" applyNumberFormat="1" applyFont="1" applyAlignment="1">
      <alignment horizontal="left" vertical="center" wrapText="1"/>
    </xf>
    <xf numFmtId="166" fontId="10" fillId="0" borderId="0" xfId="0" applyNumberFormat="1" applyFont="1" applyAlignment="1">
      <alignment horizontal="right" vertical="center" wrapText="1"/>
    </xf>
    <xf numFmtId="166" fontId="5" fillId="0" borderId="0" xfId="0" applyNumberFormat="1" applyFont="1" applyAlignment="1">
      <alignment horizontal="left" vertical="center"/>
    </xf>
    <xf numFmtId="166" fontId="9"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166" fontId="12" fillId="0" borderId="9" xfId="0" applyNumberFormat="1" applyFont="1" applyBorder="1" applyAlignment="1">
      <alignment horizontal="right" vertical="center" wrapText="1"/>
    </xf>
    <xf numFmtId="166" fontId="12" fillId="0" borderId="8" xfId="0" applyNumberFormat="1" applyFont="1" applyBorder="1" applyAlignment="1">
      <alignment horizontal="right" vertical="center" wrapText="1"/>
    </xf>
    <xf numFmtId="166" fontId="12" fillId="0" borderId="5" xfId="0" applyNumberFormat="1" applyFont="1" applyBorder="1" applyAlignment="1">
      <alignment horizontal="center" vertical="center" wrapText="1"/>
    </xf>
    <xf numFmtId="166" fontId="9" fillId="9" borderId="9" xfId="0" applyNumberFormat="1" applyFont="1" applyFill="1" applyBorder="1" applyAlignment="1">
      <alignment horizontal="right" vertical="center" wrapText="1"/>
    </xf>
    <xf numFmtId="166" fontId="9" fillId="9" borderId="8" xfId="0" applyNumberFormat="1" applyFont="1" applyFill="1" applyBorder="1" applyAlignment="1">
      <alignment horizontal="right" vertical="center" wrapText="1"/>
    </xf>
    <xf numFmtId="166" fontId="9" fillId="9" borderId="10" xfId="0" applyNumberFormat="1" applyFont="1" applyFill="1" applyBorder="1" applyAlignment="1">
      <alignment horizontal="right" vertical="center" wrapText="1"/>
    </xf>
    <xf numFmtId="166" fontId="9" fillId="9" borderId="4" xfId="0" applyNumberFormat="1" applyFont="1" applyFill="1" applyBorder="1" applyAlignment="1">
      <alignment horizontal="right" vertical="center" wrapText="1"/>
    </xf>
    <xf numFmtId="166" fontId="10" fillId="0" borderId="0" xfId="1" applyNumberFormat="1" applyFont="1" applyAlignment="1">
      <alignment horizontal="right" vertical="center" wrapText="1"/>
    </xf>
    <xf numFmtId="166" fontId="9" fillId="0" borderId="0" xfId="0" applyNumberFormat="1" applyFont="1" applyAlignment="1">
      <alignment horizontal="left" vertical="center" wrapText="1"/>
    </xf>
    <xf numFmtId="166" fontId="25" fillId="0" borderId="0" xfId="0" applyNumberFormat="1" applyFont="1" applyAlignment="1">
      <alignment horizontal="left" vertical="center"/>
    </xf>
    <xf numFmtId="166" fontId="9" fillId="0" borderId="0" xfId="0" applyNumberFormat="1" applyFont="1" applyAlignment="1">
      <alignment horizontal="left" vertical="center"/>
    </xf>
    <xf numFmtId="0" fontId="9" fillId="9" borderId="12" xfId="0" applyFont="1" applyFill="1" applyBorder="1" applyAlignment="1">
      <alignment horizontal="right" vertical="center" wrapText="1"/>
    </xf>
    <xf numFmtId="9" fontId="9" fillId="9" borderId="3" xfId="2" applyFont="1" applyFill="1" applyBorder="1" applyAlignment="1">
      <alignment horizontal="right" vertical="center" wrapText="1"/>
    </xf>
    <xf numFmtId="166" fontId="9" fillId="0" borderId="0" xfId="0" applyNumberFormat="1" applyFont="1" applyAlignment="1">
      <alignment horizontal="right"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9" fillId="9" borderId="8" xfId="0" applyFont="1" applyFill="1" applyBorder="1" applyAlignment="1">
      <alignment horizontal="right" vertical="center"/>
    </xf>
    <xf numFmtId="0" fontId="9" fillId="9" borderId="3" xfId="0" applyFont="1" applyFill="1" applyBorder="1" applyAlignment="1">
      <alignment horizontal="right" vertical="center"/>
    </xf>
    <xf numFmtId="166" fontId="9" fillId="9" borderId="12" xfId="0" applyNumberFormat="1" applyFont="1" applyFill="1" applyBorder="1" applyAlignment="1">
      <alignment horizontal="right" vertical="center"/>
    </xf>
    <xf numFmtId="0" fontId="9" fillId="9" borderId="12" xfId="0" applyFont="1" applyFill="1" applyBorder="1" applyAlignment="1">
      <alignment horizontal="right" vertical="center"/>
    </xf>
    <xf numFmtId="166" fontId="5" fillId="0" borderId="0" xfId="0" applyNumberFormat="1" applyFont="1" applyAlignment="1">
      <alignment horizontal="left" vertical="center" wrapText="1"/>
    </xf>
    <xf numFmtId="166" fontId="12" fillId="0" borderId="1" xfId="0" applyNumberFormat="1" applyFont="1" applyBorder="1" applyAlignment="1">
      <alignment horizontal="right" vertical="center" wrapText="1"/>
    </xf>
    <xf numFmtId="166" fontId="39" fillId="0" borderId="0" xfId="0" applyNumberFormat="1" applyFont="1"/>
    <xf numFmtId="0" fontId="9" fillId="9" borderId="12" xfId="1" applyNumberFormat="1" applyFont="1" applyFill="1" applyBorder="1" applyAlignment="1">
      <alignment horizontal="right" vertical="center"/>
    </xf>
    <xf numFmtId="167" fontId="27"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7" fillId="0" borderId="1" xfId="0" applyFont="1" applyBorder="1"/>
    <xf numFmtId="0" fontId="10" fillId="0" borderId="0" xfId="0" applyFont="1" applyAlignment="1">
      <alignment horizontal="center" vertical="center"/>
    </xf>
    <xf numFmtId="172" fontId="21" fillId="0" borderId="12" xfId="1" applyNumberFormat="1" applyFont="1" applyBorder="1" applyAlignment="1" applyProtection="1">
      <alignment horizontal="center" vertical="center" wrapText="1"/>
      <protection locked="0"/>
    </xf>
    <xf numFmtId="0" fontId="10" fillId="0" borderId="0" xfId="0" applyFont="1" applyAlignment="1">
      <alignment vertical="center"/>
    </xf>
    <xf numFmtId="0" fontId="21" fillId="9" borderId="3" xfId="4" applyFont="1" applyFill="1" applyBorder="1" applyAlignment="1">
      <alignment horizontal="center" vertical="center" wrapText="1"/>
    </xf>
    <xf numFmtId="0" fontId="21" fillId="9" borderId="1" xfId="4" applyFont="1" applyFill="1" applyBorder="1" applyAlignment="1">
      <alignment horizontal="center" vertical="center"/>
    </xf>
    <xf numFmtId="167" fontId="10" fillId="9" borderId="6" xfId="0" applyNumberFormat="1" applyFont="1" applyFill="1" applyBorder="1" applyAlignment="1">
      <alignment horizontal="center" vertical="center"/>
    </xf>
    <xf numFmtId="167" fontId="10" fillId="0" borderId="0" xfId="0" applyNumberFormat="1" applyFont="1" applyAlignment="1">
      <alignment vertical="center"/>
    </xf>
    <xf numFmtId="167" fontId="10" fillId="9" borderId="9" xfId="0" applyNumberFormat="1" applyFont="1" applyFill="1" applyBorder="1" applyAlignment="1">
      <alignment horizontal="center" vertical="center"/>
    </xf>
    <xf numFmtId="0" fontId="30" fillId="0" borderId="0" xfId="0" applyFont="1" applyAlignment="1">
      <alignment vertical="center"/>
    </xf>
    <xf numFmtId="0" fontId="21" fillId="0" borderId="1" xfId="4" applyFont="1" applyBorder="1" applyAlignment="1">
      <alignment horizontal="center" vertical="center"/>
    </xf>
    <xf numFmtId="167" fontId="21" fillId="0" borderId="6" xfId="4" applyNumberFormat="1" applyFont="1" applyBorder="1" applyAlignment="1">
      <alignment horizontal="center" vertical="center"/>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wrapText="1"/>
    </xf>
    <xf numFmtId="0" fontId="10" fillId="9" borderId="9" xfId="0" applyFont="1" applyFill="1" applyBorder="1" applyAlignment="1">
      <alignment horizontal="right" vertical="center" wrapText="1"/>
    </xf>
    <xf numFmtId="0" fontId="10" fillId="9" borderId="10" xfId="0" applyFont="1" applyFill="1" applyBorder="1" applyAlignment="1">
      <alignment horizontal="right" vertical="center" wrapText="1"/>
    </xf>
    <xf numFmtId="0" fontId="10" fillId="9" borderId="4" xfId="0" applyFont="1" applyFill="1" applyBorder="1" applyAlignment="1">
      <alignment horizontal="right" vertical="center" wrapText="1"/>
    </xf>
    <xf numFmtId="0" fontId="11" fillId="0" borderId="0" xfId="0" applyFont="1" applyAlignment="1">
      <alignment horizontal="right" vertical="center" wrapText="1"/>
    </xf>
    <xf numFmtId="0" fontId="10" fillId="0" borderId="0" xfId="1" applyNumberFormat="1" applyFont="1" applyBorder="1" applyAlignment="1">
      <alignment vertical="center"/>
    </xf>
    <xf numFmtId="167" fontId="10" fillId="0" borderId="11" xfId="0" applyNumberFormat="1" applyFont="1" applyBorder="1" applyAlignment="1">
      <alignment horizontal="right" vertical="center"/>
    </xf>
    <xf numFmtId="167" fontId="11" fillId="0" borderId="11" xfId="0" applyNumberFormat="1" applyFont="1" applyBorder="1" applyAlignment="1">
      <alignment horizontal="right" vertical="center"/>
    </xf>
    <xf numFmtId="167" fontId="10" fillId="0" borderId="2" xfId="0" applyNumberFormat="1" applyFont="1" applyBorder="1" applyAlignment="1">
      <alignment horizontal="righ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167" fontId="10" fillId="0" borderId="0" xfId="0" applyNumberFormat="1" applyFont="1" applyAlignment="1" applyProtection="1">
      <alignment wrapText="1"/>
      <protection locked="0"/>
    </xf>
    <xf numFmtId="167" fontId="10" fillId="0" borderId="0" xfId="0" applyNumberFormat="1" applyFont="1" applyAlignment="1" applyProtection="1">
      <alignment vertical="center" wrapText="1"/>
      <protection locked="0"/>
    </xf>
    <xf numFmtId="167" fontId="20" fillId="0" borderId="0" xfId="5" applyNumberFormat="1" applyFont="1" applyFill="1" applyBorder="1" applyAlignment="1" applyProtection="1">
      <alignment horizontal="center" vertical="center" wrapText="1"/>
      <protection locked="0"/>
    </xf>
    <xf numFmtId="167" fontId="20" fillId="2" borderId="3" xfId="4" applyNumberFormat="1" applyFont="1" applyFill="1" applyBorder="1" applyAlignment="1" applyProtection="1">
      <alignment horizontal="center" vertical="center" wrapText="1"/>
      <protection locked="0"/>
    </xf>
    <xf numFmtId="167" fontId="10" fillId="0" borderId="8" xfId="0" applyNumberFormat="1" applyFont="1" applyBorder="1" applyAlignment="1" applyProtection="1">
      <alignment horizontal="center" vertical="center" wrapText="1"/>
      <protection locked="0"/>
    </xf>
    <xf numFmtId="2" fontId="10" fillId="0" borderId="0" xfId="0" applyNumberFormat="1" applyFont="1" applyAlignment="1" applyProtection="1">
      <alignment wrapText="1"/>
      <protection locked="0"/>
    </xf>
    <xf numFmtId="2" fontId="10" fillId="0" borderId="0" xfId="0" applyNumberFormat="1" applyFont="1" applyAlignment="1" applyProtection="1">
      <alignment vertical="center" wrapText="1"/>
      <protection locked="0"/>
    </xf>
    <xf numFmtId="2" fontId="20" fillId="2" borderId="3" xfId="4" applyNumberFormat="1" applyFont="1" applyFill="1" applyBorder="1" applyAlignment="1" applyProtection="1">
      <alignment horizontal="center" vertical="center" wrapText="1"/>
      <protection locked="0"/>
    </xf>
    <xf numFmtId="2" fontId="21" fillId="0" borderId="8" xfId="1" applyNumberFormat="1" applyFont="1" applyFill="1" applyBorder="1" applyAlignment="1" applyProtection="1">
      <alignment horizontal="center" vertical="center" wrapText="1"/>
      <protection locked="0"/>
    </xf>
    <xf numFmtId="171" fontId="10" fillId="0" borderId="0" xfId="0" applyNumberFormat="1" applyFont="1" applyAlignment="1" applyProtection="1">
      <alignment wrapText="1"/>
      <protection locked="0"/>
    </xf>
    <xf numFmtId="171" fontId="10" fillId="0" borderId="0" xfId="0" applyNumberFormat="1" applyFont="1" applyAlignment="1" applyProtection="1">
      <alignment vertical="center" wrapText="1"/>
      <protection locked="0"/>
    </xf>
    <xf numFmtId="171" fontId="20" fillId="2" borderId="3" xfId="4" applyNumberFormat="1" applyFont="1" applyFill="1" applyBorder="1" applyAlignment="1" applyProtection="1">
      <alignment horizontal="center" vertical="center" wrapText="1"/>
      <protection locked="0"/>
    </xf>
    <xf numFmtId="172" fontId="5" fillId="0" borderId="0" xfId="1" applyNumberFormat="1" applyFont="1" applyAlignment="1" applyProtection="1">
      <alignment vertical="center"/>
      <protection locked="0"/>
    </xf>
    <xf numFmtId="172" fontId="10" fillId="0" borderId="0" xfId="1"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2" fontId="10" fillId="0" borderId="0" xfId="1" applyNumberFormat="1" applyFont="1" applyAlignment="1" applyProtection="1">
      <alignment vertical="center"/>
      <protection locked="0"/>
    </xf>
    <xf numFmtId="172" fontId="5" fillId="0" borderId="0" xfId="1" applyNumberFormat="1" applyFont="1" applyAlignment="1" applyProtection="1">
      <alignment horizontal="left" vertical="center"/>
      <protection locked="0"/>
    </xf>
    <xf numFmtId="0" fontId="13" fillId="0" borderId="0" xfId="1" applyNumberFormat="1" applyFont="1" applyAlignment="1" applyProtection="1">
      <alignment horizontal="center" vertical="center"/>
      <protection locked="0"/>
    </xf>
    <xf numFmtId="0" fontId="11" fillId="0" borderId="0" xfId="1" applyNumberFormat="1" applyFont="1" applyAlignment="1" applyProtection="1">
      <alignment horizontal="center" vertical="center"/>
      <protection locked="0"/>
    </xf>
    <xf numFmtId="166" fontId="12" fillId="0" borderId="8" xfId="0" applyNumberFormat="1" applyFont="1" applyBorder="1" applyAlignment="1">
      <alignment horizontal="center" vertical="center"/>
    </xf>
    <xf numFmtId="9" fontId="9" fillId="9" borderId="3" xfId="2" applyFont="1" applyFill="1" applyBorder="1" applyAlignment="1">
      <alignment horizontal="right" vertical="center"/>
    </xf>
    <xf numFmtId="166" fontId="12" fillId="0" borderId="7" xfId="0" applyNumberFormat="1" applyFont="1" applyBorder="1" applyAlignment="1">
      <alignment horizontal="right" vertical="center"/>
    </xf>
    <xf numFmtId="0" fontId="12" fillId="0" borderId="8" xfId="0" applyFont="1" applyBorder="1" applyAlignment="1">
      <alignment horizontal="right" vertical="center"/>
    </xf>
    <xf numFmtId="166" fontId="9" fillId="9" borderId="8" xfId="0" applyNumberFormat="1" applyFont="1" applyFill="1" applyBorder="1" applyAlignment="1">
      <alignment horizontal="right" vertical="center"/>
    </xf>
    <xf numFmtId="9" fontId="10" fillId="9" borderId="2" xfId="1" applyNumberFormat="1" applyFont="1" applyFill="1" applyBorder="1" applyAlignment="1">
      <alignment horizontal="right" vertical="center"/>
    </xf>
    <xf numFmtId="10" fontId="21" fillId="0" borderId="12" xfId="2" applyNumberFormat="1" applyFont="1" applyFill="1" applyBorder="1" applyAlignment="1" applyProtection="1">
      <alignment horizontal="center" vertical="center" wrapText="1"/>
      <protection locked="0"/>
    </xf>
    <xf numFmtId="172" fontId="20" fillId="2" borderId="1" xfId="1"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72" fontId="25" fillId="0" borderId="0" xfId="1" applyNumberFormat="1" applyFont="1" applyAlignment="1" applyProtection="1">
      <alignment vertical="center"/>
      <protection locked="0"/>
    </xf>
    <xf numFmtId="43" fontId="10" fillId="0" borderId="0" xfId="1" applyFont="1"/>
    <xf numFmtId="0" fontId="43" fillId="0" borderId="0" xfId="5" applyFont="1"/>
    <xf numFmtId="10" fontId="21" fillId="0" borderId="1" xfId="2" applyNumberFormat="1" applyFont="1" applyFill="1" applyBorder="1" applyAlignment="1" applyProtection="1">
      <alignment horizontal="center" vertical="center" wrapText="1"/>
      <protection locked="0"/>
    </xf>
    <xf numFmtId="172" fontId="21" fillId="0" borderId="3" xfId="1" applyNumberFormat="1" applyFont="1" applyFill="1" applyBorder="1" applyAlignment="1" applyProtection="1">
      <alignment horizontal="center" vertical="center" wrapText="1"/>
      <protection locked="0"/>
    </xf>
    <xf numFmtId="172" fontId="21" fillId="0" borderId="12" xfId="1" applyNumberFormat="1" applyFont="1" applyFill="1" applyBorder="1" applyAlignment="1" applyProtection="1">
      <alignment horizontal="center" vertical="center" wrapText="1"/>
      <protection locked="0"/>
    </xf>
    <xf numFmtId="172" fontId="21" fillId="0" borderId="8" xfId="1" applyNumberFormat="1" applyFont="1" applyFill="1" applyBorder="1" applyAlignment="1" applyProtection="1">
      <alignment horizontal="center" vertical="center" wrapText="1"/>
      <protection locked="0"/>
    </xf>
    <xf numFmtId="10" fontId="21" fillId="0" borderId="8" xfId="0" applyNumberFormat="1" applyFont="1" applyBorder="1" applyAlignment="1" applyProtection="1">
      <alignment horizontal="center" vertical="center" wrapText="1"/>
      <protection locked="0"/>
    </xf>
    <xf numFmtId="173" fontId="10" fillId="0" borderId="0" xfId="1" applyNumberFormat="1" applyFont="1" applyAlignment="1" applyProtection="1">
      <alignment horizontal="center" vertical="center"/>
      <protection locked="0"/>
    </xf>
    <xf numFmtId="172" fontId="21" fillId="0" borderId="1" xfId="1" applyNumberFormat="1" applyFont="1" applyFill="1" applyBorder="1" applyAlignment="1" applyProtection="1">
      <alignment horizontal="center" vertical="center" wrapText="1"/>
      <protection locked="0"/>
    </xf>
    <xf numFmtId="1" fontId="0" fillId="0" borderId="0" xfId="0" applyNumberFormat="1"/>
    <xf numFmtId="174" fontId="10" fillId="0" borderId="0" xfId="1" applyNumberFormat="1" applyFont="1" applyAlignment="1" applyProtection="1">
      <alignment horizontal="center" vertical="center"/>
      <protection locked="0"/>
    </xf>
    <xf numFmtId="172" fontId="10" fillId="0" borderId="0" xfId="0" applyNumberFormat="1" applyFont="1" applyAlignment="1" applyProtection="1">
      <alignment horizontal="center" vertical="center"/>
      <protection locked="0"/>
    </xf>
    <xf numFmtId="2" fontId="0" fillId="0" borderId="0" xfId="1" applyNumberFormat="1" applyFont="1" applyAlignment="1">
      <alignment horizontal="right" vertical="center"/>
    </xf>
    <xf numFmtId="2" fontId="0" fillId="0" borderId="0" xfId="0" applyNumberFormat="1" applyAlignment="1">
      <alignment horizontal="right" vertical="center"/>
    </xf>
    <xf numFmtId="167" fontId="4" fillId="3" borderId="0" xfId="0" applyNumberFormat="1" applyFont="1" applyFill="1" applyAlignment="1">
      <alignment vertical="center" wrapText="1"/>
    </xf>
    <xf numFmtId="167" fontId="0" fillId="0" borderId="0" xfId="0" applyNumberFormat="1" applyAlignment="1">
      <alignment horizontal="right" vertical="center"/>
    </xf>
    <xf numFmtId="167" fontId="7" fillId="3" borderId="0" xfId="0" applyNumberFormat="1" applyFont="1" applyFill="1" applyAlignment="1">
      <alignment vertical="center" wrapText="1"/>
    </xf>
    <xf numFmtId="10" fontId="7" fillId="3" borderId="0" xfId="0" applyNumberFormat="1" applyFont="1" applyFill="1" applyAlignment="1">
      <alignment horizontal="center" vertical="center" wrapText="1"/>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7" fillId="3" borderId="0" xfId="0" applyNumberFormat="1" applyFont="1" applyFill="1" applyAlignment="1">
      <alignment vertical="center" wrapText="1"/>
    </xf>
    <xf numFmtId="173" fontId="10" fillId="0" borderId="0" xfId="1"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1" applyNumberFormat="1" applyFont="1" applyAlignment="1" applyProtection="1">
      <alignment vertical="center"/>
      <protection locked="0"/>
    </xf>
    <xf numFmtId="0" fontId="13" fillId="0" borderId="0" xfId="1" applyNumberFormat="1" applyFont="1" applyAlignment="1" applyProtection="1">
      <alignment vertical="center"/>
      <protection locked="0"/>
    </xf>
    <xf numFmtId="0" fontId="10" fillId="0" borderId="0" xfId="1" applyNumberFormat="1" applyFont="1" applyAlignment="1" applyProtection="1">
      <alignment horizontal="center" vertical="center"/>
      <protection locked="0"/>
    </xf>
    <xf numFmtId="172" fontId="10" fillId="0" borderId="0" xfId="1"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172" fontId="10" fillId="0" borderId="0" xfId="1" applyNumberFormat="1" applyFont="1" applyAlignment="1" applyProtection="1">
      <alignment horizontal="right" vertical="center"/>
      <protection locked="0"/>
    </xf>
    <xf numFmtId="0" fontId="10" fillId="0" borderId="0" xfId="1" applyNumberFormat="1" applyFont="1" applyAlignment="1" applyProtection="1">
      <alignment horizontal="right" vertical="center"/>
      <protection locked="0"/>
    </xf>
    <xf numFmtId="0" fontId="11" fillId="0" borderId="0" xfId="1" applyNumberFormat="1" applyFont="1" applyAlignment="1" applyProtection="1">
      <alignment horizontal="right" vertical="center"/>
      <protection locked="0"/>
    </xf>
    <xf numFmtId="0" fontId="11" fillId="0" borderId="0" xfId="1" applyNumberFormat="1" applyFont="1" applyFill="1" applyAlignment="1" applyProtection="1">
      <alignment horizontal="center" vertical="center"/>
      <protection locked="0"/>
    </xf>
    <xf numFmtId="172" fontId="11" fillId="0" borderId="0" xfId="1" applyNumberFormat="1" applyFont="1" applyFill="1" applyBorder="1" applyAlignment="1" applyProtection="1">
      <alignment horizontal="center" vertical="center" wrapText="1"/>
      <protection locked="0"/>
    </xf>
    <xf numFmtId="0" fontId="44" fillId="2" borderId="12" xfId="4" applyFont="1" applyFill="1" applyBorder="1" applyAlignment="1" applyProtection="1">
      <alignment vertical="center"/>
      <protection hidden="1"/>
    </xf>
    <xf numFmtId="0" fontId="44" fillId="2" borderId="12" xfId="4" applyFont="1" applyFill="1" applyBorder="1" applyAlignment="1" applyProtection="1">
      <alignment horizontal="left" vertical="center" wrapText="1"/>
      <protection hidden="1"/>
    </xf>
    <xf numFmtId="0" fontId="9" fillId="13" borderId="1" xfId="0" applyFont="1" applyFill="1" applyBorder="1" applyAlignment="1">
      <alignment wrapText="1"/>
    </xf>
    <xf numFmtId="0" fontId="9" fillId="14" borderId="1" xfId="0" applyFont="1" applyFill="1" applyBorder="1" applyAlignment="1">
      <alignment wrapText="1"/>
    </xf>
    <xf numFmtId="166" fontId="9" fillId="14" borderId="9" xfId="0" applyNumberFormat="1" applyFont="1" applyFill="1" applyBorder="1" applyAlignment="1">
      <alignment horizontal="right" vertical="center" wrapText="1"/>
    </xf>
    <xf numFmtId="0" fontId="9" fillId="14" borderId="8" xfId="0" applyFont="1" applyFill="1" applyBorder="1" applyAlignment="1">
      <alignment horizontal="right" vertical="center" wrapText="1"/>
    </xf>
    <xf numFmtId="166" fontId="9" fillId="14" borderId="10" xfId="0" applyNumberFormat="1" applyFont="1" applyFill="1" applyBorder="1" applyAlignment="1">
      <alignment horizontal="right" vertical="center" wrapText="1"/>
    </xf>
    <xf numFmtId="0" fontId="9" fillId="14" borderId="12" xfId="0" applyFont="1" applyFill="1" applyBorder="1" applyAlignment="1">
      <alignment horizontal="right" vertical="center" wrapText="1"/>
    </xf>
    <xf numFmtId="166" fontId="9" fillId="14" borderId="4" xfId="0" applyNumberFormat="1" applyFont="1" applyFill="1" applyBorder="1" applyAlignment="1">
      <alignment horizontal="right" vertical="center" wrapText="1"/>
    </xf>
    <xf numFmtId="0" fontId="9" fillId="14" borderId="3" xfId="0" applyFont="1" applyFill="1" applyBorder="1" applyAlignment="1">
      <alignment horizontal="right" vertical="center" wrapText="1"/>
    </xf>
    <xf numFmtId="172" fontId="45" fillId="0" borderId="0" xfId="1" applyNumberFormat="1" applyFont="1" applyAlignment="1" applyProtection="1">
      <alignment horizontal="left" vertical="center"/>
      <protection locked="0"/>
    </xf>
    <xf numFmtId="172" fontId="21" fillId="5" borderId="12" xfId="1" applyNumberFormat="1" applyFont="1" applyFill="1" applyBorder="1" applyAlignment="1" applyProtection="1">
      <alignment horizontal="center" vertical="center" wrapText="1"/>
      <protection locked="0"/>
    </xf>
    <xf numFmtId="172" fontId="10" fillId="5" borderId="8" xfId="1" applyNumberFormat="1" applyFont="1" applyFill="1" applyBorder="1" applyAlignment="1" applyProtection="1">
      <alignment horizontal="center" vertical="center" wrapText="1"/>
      <protection locked="0"/>
    </xf>
    <xf numFmtId="0" fontId="10" fillId="0" borderId="0" xfId="0" applyFont="1" applyAlignment="1">
      <alignment horizontal="right" vertical="center"/>
    </xf>
    <xf numFmtId="166" fontId="9" fillId="15" borderId="9" xfId="0" applyNumberFormat="1" applyFont="1" applyFill="1" applyBorder="1" applyAlignment="1">
      <alignment horizontal="right" vertical="center" wrapText="1"/>
    </xf>
    <xf numFmtId="166" fontId="9" fillId="15" borderId="8" xfId="0" applyNumberFormat="1" applyFont="1" applyFill="1" applyBorder="1" applyAlignment="1">
      <alignment horizontal="right" vertical="center"/>
    </xf>
    <xf numFmtId="166" fontId="9" fillId="15" borderId="4" xfId="0" applyNumberFormat="1" applyFont="1" applyFill="1" applyBorder="1" applyAlignment="1">
      <alignment horizontal="right" vertical="center" wrapText="1"/>
    </xf>
    <xf numFmtId="166" fontId="9" fillId="15" borderId="3" xfId="0" applyNumberFormat="1" applyFont="1" applyFill="1" applyBorder="1" applyAlignment="1">
      <alignment horizontal="right" vertical="center"/>
    </xf>
    <xf numFmtId="0" fontId="9" fillId="15" borderId="12" xfId="0" applyFont="1" applyFill="1" applyBorder="1" applyAlignment="1">
      <alignment horizontal="right" vertical="center"/>
    </xf>
    <xf numFmtId="166" fontId="9" fillId="15" borderId="0" xfId="0" applyNumberFormat="1" applyFont="1" applyFill="1" applyAlignment="1">
      <alignment horizontal="right" vertical="center"/>
    </xf>
    <xf numFmtId="166" fontId="9" fillId="15" borderId="11" xfId="0" applyNumberFormat="1" applyFont="1" applyFill="1" applyBorder="1" applyAlignment="1">
      <alignment horizontal="right" vertical="center"/>
    </xf>
    <xf numFmtId="0" fontId="9" fillId="15" borderId="3" xfId="0" applyFont="1" applyFill="1" applyBorder="1" applyAlignment="1">
      <alignment horizontal="right" vertical="center"/>
    </xf>
    <xf numFmtId="166" fontId="9" fillId="15" borderId="2" xfId="0" applyNumberFormat="1" applyFont="1" applyFill="1" applyBorder="1" applyAlignment="1">
      <alignment horizontal="right" vertical="center"/>
    </xf>
    <xf numFmtId="166" fontId="9" fillId="15" borderId="10" xfId="0" applyNumberFormat="1" applyFont="1" applyFill="1" applyBorder="1" applyAlignment="1">
      <alignment horizontal="right" vertical="center" wrapText="1"/>
    </xf>
    <xf numFmtId="166" fontId="9" fillId="15" borderId="12" xfId="0" applyNumberFormat="1" applyFont="1" applyFill="1" applyBorder="1" applyAlignment="1">
      <alignment horizontal="right" vertical="center" wrapText="1"/>
    </xf>
    <xf numFmtId="0" fontId="9" fillId="15" borderId="1" xfId="0" applyFont="1" applyFill="1" applyBorder="1" applyAlignment="1">
      <alignment wrapText="1"/>
    </xf>
    <xf numFmtId="0" fontId="9" fillId="16" borderId="1" xfId="0" applyFont="1" applyFill="1" applyBorder="1" applyAlignment="1">
      <alignment wrapText="1"/>
    </xf>
    <xf numFmtId="0" fontId="46" fillId="0" borderId="0" xfId="0" applyFont="1"/>
    <xf numFmtId="0" fontId="47" fillId="0" borderId="17" xfId="0" applyFont="1" applyBorder="1"/>
    <xf numFmtId="166" fontId="26" fillId="4" borderId="8" xfId="0"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9" xfId="0" applyFont="1" applyBorder="1" applyAlignment="1" applyProtection="1">
      <alignment horizontal="left" vertical="center" wrapText="1"/>
      <protection locked="0"/>
    </xf>
    <xf numFmtId="166" fontId="9" fillId="15" borderId="8" xfId="0" applyNumberFormat="1" applyFont="1" applyFill="1" applyBorder="1" applyAlignment="1">
      <alignment horizontal="center" vertical="center"/>
    </xf>
    <xf numFmtId="166" fontId="9" fillId="15" borderId="3" xfId="0" applyNumberFormat="1" applyFont="1" applyFill="1" applyBorder="1" applyAlignment="1">
      <alignment horizontal="center" vertical="center"/>
    </xf>
    <xf numFmtId="166" fontId="9" fillId="9" borderId="8" xfId="0" applyNumberFormat="1" applyFont="1" applyFill="1" applyBorder="1" applyAlignment="1">
      <alignment horizontal="center" vertical="center"/>
    </xf>
    <xf numFmtId="166" fontId="9" fillId="9" borderId="12"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15" borderId="12" xfId="0" applyNumberFormat="1" applyFont="1" applyFill="1" applyBorder="1" applyAlignment="1">
      <alignment horizontal="center" vertical="center"/>
    </xf>
    <xf numFmtId="166" fontId="9" fillId="14" borderId="7" xfId="0" applyNumberFormat="1" applyFont="1" applyFill="1" applyBorder="1" applyAlignment="1">
      <alignment horizontal="center" vertical="center" wrapText="1"/>
    </xf>
    <xf numFmtId="166" fontId="9" fillId="14" borderId="11" xfId="0" applyNumberFormat="1" applyFont="1" applyFill="1" applyBorder="1" applyAlignment="1">
      <alignment horizontal="center" vertical="center" wrapText="1"/>
    </xf>
    <xf numFmtId="166" fontId="9" fillId="14" borderId="2" xfId="0" applyNumberFormat="1" applyFont="1" applyFill="1" applyBorder="1" applyAlignment="1">
      <alignment horizontal="center" vertical="center" wrapText="1"/>
    </xf>
    <xf numFmtId="166" fontId="9" fillId="9" borderId="7" xfId="0" applyNumberFormat="1" applyFont="1" applyFill="1" applyBorder="1" applyAlignment="1">
      <alignment horizontal="center" vertical="center" wrapText="1"/>
    </xf>
    <xf numFmtId="166" fontId="9" fillId="9" borderId="11" xfId="0" applyNumberFormat="1" applyFont="1" applyFill="1" applyBorder="1" applyAlignment="1">
      <alignment horizontal="center" vertical="center" wrapText="1"/>
    </xf>
    <xf numFmtId="166" fontId="9" fillId="9" borderId="2" xfId="0" applyNumberFormat="1" applyFont="1" applyFill="1" applyBorder="1" applyAlignment="1">
      <alignment horizontal="center" vertical="center" wrapText="1"/>
    </xf>
    <xf numFmtId="166" fontId="9" fillId="15" borderId="12" xfId="0" applyNumberFormat="1" applyFont="1" applyFill="1" applyBorder="1" applyAlignment="1">
      <alignment horizontal="center" vertical="center" wrapText="1"/>
    </xf>
    <xf numFmtId="166" fontId="9" fillId="15" borderId="3" xfId="0" applyNumberFormat="1" applyFont="1" applyFill="1" applyBorder="1" applyAlignment="1">
      <alignment horizontal="center" vertical="center" wrapText="1"/>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4">
    <dxf>
      <numFmt numFmtId="4" formatCode="#,##0.00"/>
    </dxf>
    <dxf>
      <numFmt numFmtId="167" formatCode="&quot;$&quot;#,##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rgb="FFC00000"/>
        </patternFill>
      </fill>
    </dxf>
    <dxf>
      <font>
        <b/>
        <i val="0"/>
      </font>
    </dxf>
    <dxf>
      <font>
        <b/>
        <i val="0"/>
      </font>
      <fill>
        <patternFill patternType="none">
          <bgColor auto="1"/>
        </patternFill>
      </fill>
      <border>
        <left/>
        <right/>
        <top/>
        <bottom/>
      </border>
    </dxf>
    <dxf>
      <font>
        <color theme="0" tint="-0.34998626667073579"/>
      </font>
      <fill>
        <patternFill>
          <bgColor theme="0" tint="-0.34998626667073579"/>
        </patternFill>
      </fill>
    </dxf>
    <dxf>
      <font>
        <color theme="0"/>
      </font>
      <fill>
        <patternFill>
          <bgColor rgb="FFC00000"/>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vertAlign val="baseline"/>
        <sz val="9"/>
        <name val="Arial"/>
        <family val="2"/>
        <scheme val="none"/>
      </font>
      <numFmt numFmtId="172"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0"/>
        <name val="Calibri"/>
        <family val="2"/>
        <scheme val="minor"/>
      </font>
      <numFmt numFmtId="19" formatCode="yyyy/mm/dd"/>
    </dxf>
    <dxf>
      <font>
        <strike val="0"/>
        <outline val="0"/>
        <shadow val="0"/>
        <u val="none"/>
        <vertAlign val="baseline"/>
        <sz val="11"/>
        <color theme="0"/>
        <name val="Calibri"/>
        <family val="2"/>
        <scheme val="minor"/>
      </font>
      <alignment horizontal="right" vertical="center" textRotation="0" wrapText="1" indent="0" justifyLastLine="0" shrinkToFit="0" readingOrder="0"/>
    </dxf>
    <dxf>
      <border>
        <bottom style="thick">
          <color theme="0" tint="-0.34998626667073579"/>
        </bottom>
      </border>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EAE400"/>
      <color rgb="FF00A4DE"/>
      <color rgb="FFDADC7E"/>
      <color rgb="FF009ED6"/>
      <color rgb="FF00A1DA"/>
      <color rgb="FF0091C4"/>
      <color rgb="FFF6F000"/>
      <color rgb="FF00A7E2"/>
      <color rgb="FFF6BB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36097</xdr:colOff>
      <xdr:row>6</xdr:row>
      <xdr:rowOff>172408</xdr:rowOff>
    </xdr:from>
    <xdr:to>
      <xdr:col>2</xdr:col>
      <xdr:colOff>74877</xdr:colOff>
      <xdr:row>7</xdr:row>
      <xdr:rowOff>210735</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106910</xdr:colOff>
      <xdr:row>6</xdr:row>
      <xdr:rowOff>141922</xdr:rowOff>
    </xdr:from>
    <xdr:to>
      <xdr:col>11</xdr:col>
      <xdr:colOff>162</xdr:colOff>
      <xdr:row>7</xdr:row>
      <xdr:rowOff>171696</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9868448" y="1915160"/>
          <a:ext cx="2390389" cy="35203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2</xdr:row>
      <xdr:rowOff>152195</xdr:rowOff>
    </xdr:from>
    <xdr:to>
      <xdr:col>7</xdr:col>
      <xdr:colOff>189</xdr:colOff>
      <xdr:row>4</xdr:row>
      <xdr:rowOff>151181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68" y="666545"/>
          <a:ext cx="6926850" cy="6466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45877</xdr:rowOff>
    </xdr:from>
    <xdr:to>
      <xdr:col>2</xdr:col>
      <xdr:colOff>820636</xdr:colOff>
      <xdr:row>10</xdr:row>
      <xdr:rowOff>122821</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121993</xdr:colOff>
      <xdr:row>8</xdr:row>
      <xdr:rowOff>160160</xdr:rowOff>
    </xdr:from>
    <xdr:to>
      <xdr:col>6</xdr:col>
      <xdr:colOff>503317</xdr:colOff>
      <xdr:row>10</xdr:row>
      <xdr:rowOff>20382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821094</xdr:colOff>
      <xdr:row>8</xdr:row>
      <xdr:rowOff>172984</xdr:rowOff>
    </xdr:from>
    <xdr:to>
      <xdr:col>10</xdr:col>
      <xdr:colOff>398070</xdr:colOff>
      <xdr:row>10</xdr:row>
      <xdr:rowOff>20615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516004</xdr:colOff>
      <xdr:row>8</xdr:row>
      <xdr:rowOff>160105</xdr:rowOff>
    </xdr:from>
    <xdr:to>
      <xdr:col>20</xdr:col>
      <xdr:colOff>704565</xdr:colOff>
      <xdr:row>10</xdr:row>
      <xdr:rowOff>20501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6BB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20935</xdr:colOff>
      <xdr:row>3</xdr:row>
      <xdr:rowOff>26848</xdr:rowOff>
    </xdr:from>
    <xdr:to>
      <xdr:col>6</xdr:col>
      <xdr:colOff>515730</xdr:colOff>
      <xdr:row>6</xdr:row>
      <xdr:rowOff>179743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1059465</xdr:colOff>
      <xdr:row>11</xdr:row>
      <xdr:rowOff>83771</xdr:rowOff>
    </xdr:from>
    <xdr:to>
      <xdr:col>20</xdr:col>
      <xdr:colOff>1551166</xdr:colOff>
      <xdr:row>11</xdr:row>
      <xdr:rowOff>463077</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259144" y="2328950"/>
          <a:ext cx="491701" cy="379306"/>
        </a:xfrm>
        <a:prstGeom prst="rect">
          <a:avLst/>
        </a:prstGeom>
      </xdr:spPr>
    </xdr:pic>
    <xdr:clientData/>
  </xdr:twoCellAnchor>
  <xdr:twoCellAnchor editAs="absolute">
    <xdr:from>
      <xdr:col>12</xdr:col>
      <xdr:colOff>96450</xdr:colOff>
      <xdr:row>8</xdr:row>
      <xdr:rowOff>160350</xdr:rowOff>
    </xdr:from>
    <xdr:to>
      <xdr:col>15</xdr:col>
      <xdr:colOff>97291</xdr:colOff>
      <xdr:row>10</xdr:row>
      <xdr:rowOff>20800</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866157" y="1733376"/>
          <a:ext cx="2089617" cy="258707"/>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325840</xdr:colOff>
      <xdr:row>8</xdr:row>
      <xdr:rowOff>173185</xdr:rowOff>
    </xdr:from>
    <xdr:to>
      <xdr:col>18</xdr:col>
      <xdr:colOff>627764</xdr:colOff>
      <xdr:row>10</xdr:row>
      <xdr:rowOff>20300</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twoCellAnchor>
    <xdr:from>
      <xdr:col>20</xdr:col>
      <xdr:colOff>2874972</xdr:colOff>
      <xdr:row>11</xdr:row>
      <xdr:rowOff>95131</xdr:rowOff>
    </xdr:from>
    <xdr:to>
      <xdr:col>20</xdr:col>
      <xdr:colOff>3366673</xdr:colOff>
      <xdr:row>11</xdr:row>
      <xdr:rowOff>474437</xdr:rowOff>
    </xdr:to>
    <xdr:pic>
      <xdr:nvPicPr>
        <xdr:cNvPr id="8" name="Graphic 7" descr="Robot with solid fill">
          <a:extLst>
            <a:ext uri="{FF2B5EF4-FFF2-40B4-BE49-F238E27FC236}">
              <a16:creationId xmlns:a16="http://schemas.microsoft.com/office/drawing/2014/main" id="{411E4D7C-9251-4B7A-A2A8-90A01CF5C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074651" y="2340310"/>
          <a:ext cx="491701" cy="379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378708</xdr:colOff>
      <xdr:row>14</xdr:row>
      <xdr:rowOff>72804</xdr:rowOff>
    </xdr:from>
    <xdr:to>
      <xdr:col>7</xdr:col>
      <xdr:colOff>1266681</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A7E2"/>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8</xdr:col>
      <xdr:colOff>2909</xdr:colOff>
      <xdr:row>12</xdr:row>
      <xdr:rowOff>8282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139064</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123" dataDxfId="121" headerRowBorderDxfId="122">
  <tableColumns count="1">
    <tableColumn id="1" xr3:uid="{EADD94CF-9F64-4ABB-BDD4-B2AE739C8E16}" uniqueName="1" name="Right-click and Refresh this box to check for a new version" queryTableFieldId="9"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119" dataDxfId="117" headerRowBorderDxfId="118" tableBorderDxfId="116" totalsRowBorderDxfId="115">
  <sortState xmlns:xlrd2="http://schemas.microsoft.com/office/spreadsheetml/2017/richdata2" ref="B9:J10">
    <sortCondition ref="B9"/>
  </sortState>
  <tableColumns count="10">
    <tableColumn id="1" xr3:uid="{920BEA18-267B-450E-A764-D1B1BCDCB6CA}" name="Stakeholder Group" dataDxfId="114" dataCellStyle="Comma"/>
    <tableColumn id="2" xr3:uid="{6DEF87FF-4018-4CCC-AA7B-48BB3AA83B4F}" name="Non-business Count" dataDxfId="113" dataCellStyle="Comma"/>
    <tableColumn id="3" xr3:uid="{C411DE19-DA82-4F13-82B7-F1B3F5C007D9}" name="Small Business Count" dataDxfId="112" dataCellStyle="Comma"/>
    <tableColumn id="4" xr3:uid="{2821D350-189F-488F-A5C0-B64868EE3E0B}" name="Med/Large Business Count" dataDxfId="111" dataCellStyle="Comma"/>
    <tableColumn id="5" xr3:uid="{BEE60A7C-1D51-4E0C-BAC8-E9A211B9898A}" name="Total Business Count" dataDxfId="110" dataCellStyle="Comma">
      <calculatedColumnFormula>tbl_Stakeholders[[#This Row],[Small Business Count]]+tbl_Stakeholders[[#This Row],[Med/Large Business Count]]</calculatedColumnFormula>
    </tableColumn>
    <tableColumn id="11" xr3:uid="{7921D69B-2DCD-4930-9648-330B7348B00A}" name="Automatic or Manual Growth" dataDxfId="109" dataCellStyle="Comma"/>
    <tableColumn id="7" xr3:uid="{C4E5A3C2-5587-4C6A-B637-AF20A4EBC801}" name="Non-business Growth Rate" dataDxfId="108"/>
    <tableColumn id="8" xr3:uid="{AF02A1C2-038B-404C-B16D-B49AFC50CABB}" name="Small Business Growth Rate" dataDxfId="107"/>
    <tableColumn id="9" xr3:uid="{267A6211-159E-4F86-B38D-F1BD02AB00CA}" name="Med/Large Business Growth Rate" dataDxfId="106"/>
    <tableColumn id="10" xr3:uid="{BC102B3C-339F-43E9-BA35-E017D3B34308}" name="Assumptions/Notes" dataDxfId="10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04" dataDxfId="102" headerRowBorderDxfId="103" tableBorderDxfId="101" totalsRowBorderDxfId="100" headerRowCellStyle="Normal 2">
  <sortState xmlns:xlrd2="http://schemas.microsoft.com/office/spreadsheetml/2017/richdata2" ref="B13:V13">
    <sortCondition descending="1" ref="B12:B13"/>
  </sortState>
  <tableColumns count="21">
    <tableColumn id="1" xr3:uid="{65A099BC-738F-4CA0-85A2-8F4C8F82D830}" name="Activity" dataDxfId="99" dataCellStyle="Normal 2"/>
    <tableColumn id="2" xr3:uid="{2BE44DDF-2D28-448F-B936-D007FFA33384}" name="Administrative or Compliance" dataDxfId="98" dataCellStyle="Normal 2"/>
    <tableColumn id="3" xr3:uid="{1C632198-DE0B-4414-8650-8FE47D525F88}" name="Cost or Benefit" dataDxfId="97" dataCellStyle="Normal 2"/>
    <tableColumn id="4" xr3:uid="{0EDBD594-8489-4C44-9D96-F1ADEEBE0DBF}" name="Upfront or  Ongoing" dataDxfId="96" dataCellStyle="Normal 2"/>
    <tableColumn id="5" xr3:uid="{D1C308E2-BA3C-4525-B8CB-F4071E802FD6}" name="Start Year" dataDxfId="95" dataCellStyle="Normal 2"/>
    <tableColumn id="6" xr3:uid="{82BC7FDD-AB9E-44E9-82B3-C61093609B04}" name="End Year" dataDxfId="94" dataCellStyle="Normal 2"/>
    <tableColumn id="7" xr3:uid="{4613A8BF-D255-4AF4-83EE-F2CF2D752A38}" name="Affected Stakeholder Group" dataDxfId="93" dataCellStyle="Normal 2"/>
    <tableColumn id="8" xr3:uid="{4175C6BD-9CF3-4684-8984-D1801FD6D257}" name="Affected Stakeholder Type" dataDxfId="92" dataCellStyle="Normal 2"/>
    <tableColumn id="9" xr3:uid="{33B2DA87-38F9-46ED-ACF6-3FA9760927BC}" name="Percent Affected" dataDxfId="91"/>
    <tableColumn id="10" xr3:uid="{AC32CBFF-0012-4E5F-91A1-8B99F21311CB}" name="Apply to Existing Stakeholders" dataDxfId="90" dataCellStyle="Normal 2"/>
    <tableColumn id="11" xr3:uid="{C4E88C80-E17E-4F3D-9241-542D27B4CAD7}" name="Apply to New Entrants" dataDxfId="89" dataCellStyle="Normal 2"/>
    <tableColumn id="15" xr3:uid="{6844A7FD-391E-4057-939F-FCF18F6AA428}" name="Capital or Labour" dataDxfId="88"/>
    <tableColumn id="16" xr3:uid="{8F229652-99DE-4253-A024-A1F323856A06}" name="Capital: Number of Units" dataDxfId="87"/>
    <tableColumn id="17" xr3:uid="{BB41C012-479C-4840-B52C-496B641DD81E}" name="Capital: Unit Price" dataDxfId="86"/>
    <tableColumn id="18" xr3:uid="{2096BA5D-7391-4C33-A6F7-3AE237FF2546}" name="Capital: Price Year of Unit Price" dataDxfId="85"/>
    <tableColumn id="23" xr3:uid="{89B86BFE-2834-4E04-B671-5056B5F05212}" name="Annual Frequency" dataDxfId="84"/>
    <tableColumn id="22" xr3:uid="{76D19E14-9CED-42BB-9591-CCB81734D9AA}" name="Labour: Time Spent (hours)" dataDxfId="83" dataCellStyle="Comma"/>
    <tableColumn id="19" xr3:uid="{8BB445B7-7287-4EE8-A17F-0EB7CB9FF0D5}" name="Labour: Internal or External Overhead" dataDxfId="82"/>
    <tableColumn id="20" xr3:uid="{115F4724-1DC1-42A9-BE39-2FFAD4403AD2}" name="Labour: Staff Level (Hourly Wage Without Overhead)" dataDxfId="81"/>
    <tableColumn id="12" xr3:uid="{FF787A91-CF3E-4C57-A497-F051406D4F66}" name="Error Check" dataDxfId="80">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calculatedColumnFormula>
    </tableColumn>
    <tableColumn id="13" xr3:uid="{52FC6E35-E9B5-4936-84ED-61D985E22842}" name="Assumptions/Notes" dataDxfId="7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78" dataDxfId="76" headerRowBorderDxfId="77" tableBorderDxfId="75" totalsRowBorderDxfId="74">
  <tableColumns count="5">
    <tableColumn id="5" xr3:uid="{546662A6-01A3-4C42-A719-F272AA728E3F}" name="Number" dataDxfId="73" dataCellStyle="Normal 2">
      <calculatedColumnFormula>TEXT(ROW(C15)-ROW(tbl_Wages[[#Headers],[Number]]), "00")</calculatedColumnFormula>
    </tableColumn>
    <tableColumn id="1" xr3:uid="{20F5CDDD-338E-4621-9904-10A5A545C74E}" name="National Occupational Classification (NOC)" dataDxfId="72" dataCellStyle="Normal 2"/>
    <tableColumn id="2" xr3:uid="{D3390B37-54E8-41B2-AC1F-321DA8D5332A}" name="Price year of data source" dataDxfId="71" dataCellStyle="Normal 2"/>
    <tableColumn id="3" xr3:uid="{EDB81478-1C17-4622-92A5-1E9119F79F9B}" name="Wage in price year of data source (without overhead)" dataDxfId="70" dataCellStyle="Normal 2"/>
    <tableColumn id="4" xr3:uid="{9DE1072A-507C-4161-BC2C-B4FE4E367175}" name="Wage in price year of analysis (without overhead)" dataDxfId="69">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68" dataDxfId="66" headerRowBorderDxfId="67" tableBorderDxfId="65" totalsRowBorderDxfId="64">
  <tableColumns count="2">
    <tableColumn id="3" xr3:uid="{DA62A898-12CF-4A60-9FEB-00B4385E3C16}" uniqueName="3" name="Year" queryTableFieldId="3" dataDxfId="63"/>
    <tableColumn id="4" xr3:uid="{268D9651-8A8A-453A-AE71-8F05FF58D1B0}" uniqueName="4" name="Index" queryTableFieldId="4" dataDxfId="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drawing" Target="../drawings/drawing1.xml"/><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printerSettings" Target="../printerSettings/printerSettings1.bin"/><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codeName="Sheet1">
    <tabColor rgb="FFFFFFFF"/>
    <pageSetUpPr autoPageBreaks="0"/>
  </sheetPr>
  <dimension ref="C1:O55"/>
  <sheetViews>
    <sheetView showGridLines="0" tabSelected="1" zoomScale="85" zoomScaleNormal="85" workbookViewId="0">
      <selection activeCell="D16" sqref="D16"/>
    </sheetView>
  </sheetViews>
  <sheetFormatPr defaultColWidth="9.109375" defaultRowHeight="13.2" x14ac:dyDescent="0.25"/>
  <cols>
    <col min="1" max="2" width="6.109375" style="78" customWidth="1"/>
    <col min="3" max="3" width="36.6640625" style="78" customWidth="1"/>
    <col min="4" max="4" width="12" style="78" customWidth="1"/>
    <col min="5" max="5" width="11.44140625" style="83" customWidth="1"/>
    <col min="6" max="6" width="10" style="84" customWidth="1"/>
    <col min="7" max="14" width="9.109375" style="78"/>
    <col min="15" max="16" width="9.109375" style="78" customWidth="1"/>
    <col min="17" max="16384" width="9.109375" style="78"/>
  </cols>
  <sheetData>
    <row r="1" spans="3:6" ht="12.75" customHeight="1" x14ac:dyDescent="0.25">
      <c r="E1" s="78"/>
      <c r="F1" s="78"/>
    </row>
    <row r="2" spans="3:6" ht="12.75" customHeight="1" x14ac:dyDescent="0.25">
      <c r="E2" s="78"/>
      <c r="F2" s="78"/>
    </row>
    <row r="3" spans="3:6" ht="12.75" customHeight="1" x14ac:dyDescent="0.25">
      <c r="E3" s="78"/>
      <c r="F3" s="78"/>
    </row>
    <row r="4" spans="3:6" ht="12.75" customHeight="1" x14ac:dyDescent="0.25">
      <c r="E4" s="78"/>
      <c r="F4" s="78"/>
    </row>
    <row r="5" spans="3:6" ht="12.75" customHeight="1" x14ac:dyDescent="0.25">
      <c r="E5" s="78"/>
      <c r="F5" s="78"/>
    </row>
    <row r="6" spans="3:6" ht="12.75" customHeight="1" x14ac:dyDescent="0.25">
      <c r="E6" s="78"/>
      <c r="F6" s="78"/>
    </row>
    <row r="7" spans="3:6" ht="12.75" customHeight="1" x14ac:dyDescent="0.25">
      <c r="E7" s="78"/>
      <c r="F7" s="78"/>
    </row>
    <row r="8" spans="3:6" ht="12.75" customHeight="1" x14ac:dyDescent="0.25">
      <c r="E8" s="78"/>
      <c r="F8" s="78"/>
    </row>
    <row r="9" spans="3:6" ht="12.75" customHeight="1" x14ac:dyDescent="0.25">
      <c r="E9" s="78"/>
      <c r="F9" s="78"/>
    </row>
    <row r="10" spans="3:6" ht="12.75" customHeight="1" x14ac:dyDescent="0.25">
      <c r="E10" s="78"/>
      <c r="F10" s="78"/>
    </row>
    <row r="11" spans="3:6" ht="12.75" customHeight="1" x14ac:dyDescent="0.25">
      <c r="E11" s="78"/>
      <c r="F11" s="78"/>
    </row>
    <row r="12" spans="3:6" ht="12.75" customHeight="1" x14ac:dyDescent="0.25">
      <c r="E12" s="78"/>
      <c r="F12" s="78"/>
    </row>
    <row r="13" spans="3:6" ht="12.75" customHeight="1" x14ac:dyDescent="0.25">
      <c r="E13" s="78"/>
      <c r="F13" s="78"/>
    </row>
    <row r="14" spans="3:6" x14ac:dyDescent="0.25">
      <c r="E14" s="78"/>
    </row>
    <row r="15" spans="3:6" x14ac:dyDescent="0.25">
      <c r="E15" s="78"/>
    </row>
    <row r="16" spans="3:6" x14ac:dyDescent="0.25">
      <c r="C16" s="92" t="s">
        <v>0</v>
      </c>
      <c r="D16" s="81">
        <v>4.2</v>
      </c>
      <c r="E16" s="78"/>
      <c r="F16" s="83"/>
    </row>
    <row r="17" spans="3:8" x14ac:dyDescent="0.25">
      <c r="C17" s="92"/>
      <c r="D17" s="81"/>
      <c r="E17" s="78"/>
      <c r="F17" s="83"/>
    </row>
    <row r="18" spans="3:8" x14ac:dyDescent="0.25">
      <c r="C18" s="92" t="s">
        <v>1</v>
      </c>
      <c r="D18" s="95">
        <v>45846</v>
      </c>
      <c r="E18" s="78"/>
      <c r="F18" s="78"/>
    </row>
    <row r="19" spans="3:8" x14ac:dyDescent="0.25">
      <c r="C19" s="92"/>
      <c r="D19" s="95"/>
      <c r="E19" s="78"/>
      <c r="F19" s="78"/>
    </row>
    <row r="20" spans="3:8" x14ac:dyDescent="0.25">
      <c r="C20" s="92" t="s">
        <v>2</v>
      </c>
      <c r="D20" s="111" t="s">
        <v>3</v>
      </c>
      <c r="E20" s="78"/>
      <c r="F20" s="78"/>
    </row>
    <row r="21" spans="3:8" x14ac:dyDescent="0.25">
      <c r="C21" s="92"/>
      <c r="D21" s="111"/>
      <c r="E21" s="78"/>
      <c r="F21" s="78"/>
    </row>
    <row r="22" spans="3:8" ht="13.8" thickBot="1" x14ac:dyDescent="0.3">
      <c r="C22" s="92"/>
      <c r="D22" s="95"/>
      <c r="E22" s="78"/>
      <c r="F22" s="78"/>
    </row>
    <row r="23" spans="3:8" ht="27.6" thickTop="1" thickBot="1" x14ac:dyDescent="0.3">
      <c r="C23" s="98" t="s">
        <v>4</v>
      </c>
      <c r="D23" s="81"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This is the current version, based on the last time the box was refreshed.</v>
      </c>
      <c r="E23" s="78"/>
      <c r="F23" s="78"/>
    </row>
    <row r="24" spans="3:8" ht="15" thickTop="1" x14ac:dyDescent="0.3">
      <c r="C24" s="96">
        <v>45846</v>
      </c>
      <c r="D24" s="97"/>
      <c r="E24" s="78"/>
      <c r="F24" s="78"/>
    </row>
    <row r="25" spans="3:8" x14ac:dyDescent="0.25">
      <c r="C25" s="93"/>
      <c r="D25" s="85"/>
      <c r="E25" s="78"/>
      <c r="F25" s="78"/>
    </row>
    <row r="26" spans="3:8" x14ac:dyDescent="0.25">
      <c r="C26" s="92" t="s">
        <v>5</v>
      </c>
      <c r="D26" s="86" t="s">
        <v>6</v>
      </c>
      <c r="E26" s="78"/>
      <c r="F26" s="78"/>
    </row>
    <row r="27" spans="3:8" x14ac:dyDescent="0.25">
      <c r="C27" s="94"/>
      <c r="D27" s="84" t="s">
        <v>7</v>
      </c>
      <c r="E27" s="78"/>
      <c r="F27" s="83"/>
    </row>
    <row r="28" spans="3:8" x14ac:dyDescent="0.25">
      <c r="C28" s="94"/>
      <c r="D28" s="84" t="s">
        <v>8</v>
      </c>
      <c r="E28" s="78"/>
      <c r="F28" s="83"/>
    </row>
    <row r="29" spans="3:8" x14ac:dyDescent="0.25">
      <c r="C29" s="94"/>
      <c r="D29" s="84"/>
      <c r="E29" s="78"/>
      <c r="F29" s="83"/>
    </row>
    <row r="30" spans="3:8" x14ac:dyDescent="0.25">
      <c r="C30" s="92" t="s">
        <v>9</v>
      </c>
      <c r="D30" s="89" t="s">
        <v>10</v>
      </c>
      <c r="E30" s="78"/>
      <c r="F30" s="83"/>
    </row>
    <row r="31" spans="3:8" x14ac:dyDescent="0.25">
      <c r="C31" s="92"/>
      <c r="D31" s="88"/>
      <c r="E31" s="78"/>
      <c r="F31" s="83"/>
      <c r="H31" s="79"/>
    </row>
    <row r="32" spans="3:8" x14ac:dyDescent="0.25">
      <c r="C32" s="92" t="s">
        <v>11</v>
      </c>
      <c r="D32" s="89" t="s">
        <v>12</v>
      </c>
      <c r="E32" s="78"/>
      <c r="F32" s="83"/>
    </row>
    <row r="33" spans="3:15" x14ac:dyDescent="0.25">
      <c r="C33" s="94"/>
      <c r="D33" s="89" t="s">
        <v>13</v>
      </c>
      <c r="E33" s="78"/>
      <c r="F33" s="83"/>
    </row>
    <row r="34" spans="3:15" x14ac:dyDescent="0.25">
      <c r="C34" s="94"/>
      <c r="D34" s="87"/>
      <c r="E34" s="78"/>
      <c r="F34" s="83"/>
    </row>
    <row r="35" spans="3:15" x14ac:dyDescent="0.25">
      <c r="C35" s="92" t="s">
        <v>14</v>
      </c>
      <c r="D35" s="89" t="s">
        <v>15</v>
      </c>
      <c r="E35" s="78"/>
      <c r="F35" s="83"/>
    </row>
    <row r="36" spans="3:15" x14ac:dyDescent="0.25">
      <c r="C36" s="92"/>
      <c r="D36" s="89"/>
      <c r="E36" s="78"/>
      <c r="F36" s="83"/>
    </row>
    <row r="37" spans="3:15" x14ac:dyDescent="0.25">
      <c r="C37" s="94"/>
      <c r="D37" s="84"/>
      <c r="E37" s="78"/>
      <c r="F37" s="83"/>
    </row>
    <row r="38" spans="3:15" x14ac:dyDescent="0.25">
      <c r="C38" s="92" t="s">
        <v>16</v>
      </c>
      <c r="D38" s="279"/>
      <c r="E38" s="84" t="s">
        <v>17</v>
      </c>
      <c r="F38" s="83"/>
    </row>
    <row r="39" spans="3:15" x14ac:dyDescent="0.25">
      <c r="C39" s="94"/>
      <c r="D39" s="83"/>
      <c r="E39" s="84"/>
      <c r="F39" s="83"/>
    </row>
    <row r="40" spans="3:15" x14ac:dyDescent="0.25">
      <c r="C40" s="94"/>
      <c r="D40" s="256"/>
      <c r="E40" s="84" t="s">
        <v>18</v>
      </c>
      <c r="F40" s="83"/>
    </row>
    <row r="41" spans="3:15" x14ac:dyDescent="0.25">
      <c r="C41" s="94"/>
      <c r="D41" s="83"/>
      <c r="E41" s="84"/>
      <c r="F41" s="83"/>
    </row>
    <row r="42" spans="3:15" x14ac:dyDescent="0.25">
      <c r="C42" s="94"/>
      <c r="D42" s="280"/>
      <c r="E42" s="80" t="s">
        <v>19</v>
      </c>
      <c r="F42" s="83"/>
    </row>
    <row r="43" spans="3:15" x14ac:dyDescent="0.25">
      <c r="C43" s="94"/>
      <c r="D43" s="83"/>
      <c r="E43" s="84"/>
      <c r="F43" s="83"/>
    </row>
    <row r="44" spans="3:15" ht="14.4" x14ac:dyDescent="0.3">
      <c r="C44" s="94"/>
      <c r="D44" s="257"/>
      <c r="E44" s="86" t="s">
        <v>20</v>
      </c>
      <c r="F44" s="83"/>
      <c r="O44"/>
    </row>
    <row r="45" spans="3:15" x14ac:dyDescent="0.25">
      <c r="C45" s="94"/>
      <c r="D45" s="83"/>
      <c r="E45" s="84"/>
      <c r="F45" s="83"/>
    </row>
    <row r="46" spans="3:15" x14ac:dyDescent="0.25">
      <c r="C46" s="94"/>
      <c r="D46" s="90"/>
      <c r="E46" s="80" t="s">
        <v>21</v>
      </c>
      <c r="F46" s="83"/>
    </row>
    <row r="47" spans="3:15" x14ac:dyDescent="0.25">
      <c r="C47" s="94"/>
      <c r="D47" s="83"/>
      <c r="E47" s="80"/>
      <c r="F47" s="83"/>
    </row>
    <row r="48" spans="3:15" x14ac:dyDescent="0.25">
      <c r="C48" s="94"/>
      <c r="D48" s="84"/>
      <c r="E48" s="78"/>
      <c r="F48" s="83"/>
    </row>
    <row r="49" spans="3:6" x14ac:dyDescent="0.25">
      <c r="C49" s="91" t="s">
        <v>22</v>
      </c>
      <c r="D49" s="82" t="s">
        <v>23</v>
      </c>
      <c r="E49" s="84"/>
      <c r="F49" s="83"/>
    </row>
    <row r="50" spans="3:6" x14ac:dyDescent="0.25">
      <c r="C50" s="94"/>
      <c r="D50" s="82" t="s">
        <v>24</v>
      </c>
      <c r="E50" s="84"/>
      <c r="F50" s="83"/>
    </row>
    <row r="51" spans="3:6" x14ac:dyDescent="0.25">
      <c r="C51" s="77"/>
      <c r="D51" s="82" t="s">
        <v>25</v>
      </c>
      <c r="E51" s="84"/>
      <c r="F51" s="83"/>
    </row>
    <row r="52" spans="3:6" x14ac:dyDescent="0.25">
      <c r="C52" s="77"/>
      <c r="D52" s="82" t="s">
        <v>26</v>
      </c>
      <c r="E52" s="84"/>
      <c r="F52" s="83"/>
    </row>
    <row r="53" spans="3:6" x14ac:dyDescent="0.25">
      <c r="C53" s="77"/>
      <c r="D53" s="82" t="s">
        <v>27</v>
      </c>
      <c r="E53" s="84"/>
      <c r="F53" s="83"/>
    </row>
    <row r="55" spans="3:6" x14ac:dyDescent="0.25">
      <c r="E55" s="78"/>
      <c r="F55" s="78"/>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s>
  <pageMargins left="0.7" right="0.7" top="0.75" bottom="0.75"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A4DE"/>
  </sheetPr>
  <dimension ref="C2:D15"/>
  <sheetViews>
    <sheetView showGridLines="0" zoomScale="110" zoomScaleNormal="110" workbookViewId="0">
      <selection activeCell="D4" sqref="D4"/>
    </sheetView>
  </sheetViews>
  <sheetFormatPr defaultColWidth="8.6640625" defaultRowHeight="14.4" x14ac:dyDescent="0.3"/>
  <cols>
    <col min="1" max="1" width="3" customWidth="1"/>
    <col min="2" max="2" width="3.44140625" customWidth="1"/>
    <col min="3" max="3" width="50.88671875" customWidth="1"/>
    <col min="4" max="4" width="48.6640625" customWidth="1"/>
  </cols>
  <sheetData>
    <row r="2" spans="3:4" ht="15.6" x14ac:dyDescent="0.3">
      <c r="C2" s="8" t="s">
        <v>28</v>
      </c>
    </row>
    <row r="4" spans="3:4" ht="31.5" customHeight="1" x14ac:dyDescent="0.3">
      <c r="C4" s="254" t="s">
        <v>29</v>
      </c>
      <c r="D4" s="17"/>
    </row>
    <row r="5" spans="3:4" ht="30.75" customHeight="1" x14ac:dyDescent="0.3">
      <c r="C5" s="254" t="s">
        <v>30</v>
      </c>
      <c r="D5" s="17" t="s">
        <v>31</v>
      </c>
    </row>
    <row r="6" spans="3:4" ht="31.5" customHeight="1" x14ac:dyDescent="0.3">
      <c r="C6" s="254" t="s">
        <v>32</v>
      </c>
      <c r="D6" s="17"/>
    </row>
    <row r="7" spans="3:4" ht="42" customHeight="1" x14ac:dyDescent="0.3">
      <c r="C7" s="255" t="s">
        <v>33</v>
      </c>
      <c r="D7" s="17"/>
    </row>
    <row r="8" spans="3:4" x14ac:dyDescent="0.3">
      <c r="C8" s="255" t="s">
        <v>34</v>
      </c>
      <c r="D8" s="28">
        <v>0</v>
      </c>
    </row>
    <row r="9" spans="3:4" x14ac:dyDescent="0.3">
      <c r="C9" s="255" t="s">
        <v>35</v>
      </c>
      <c r="D9" s="28" cm="1">
        <f t="array" ref="D9">Introduced_Formula</f>
        <v>0</v>
      </c>
    </row>
    <row r="10" spans="3:4" x14ac:dyDescent="0.3">
      <c r="C10" s="255" t="s">
        <v>36</v>
      </c>
      <c r="D10" s="17">
        <v>2024</v>
      </c>
    </row>
    <row r="11" spans="3:4" x14ac:dyDescent="0.3">
      <c r="C11" s="255" t="s">
        <v>37</v>
      </c>
      <c r="D11" s="17">
        <v>2025</v>
      </c>
    </row>
    <row r="12" spans="3:4" x14ac:dyDescent="0.3">
      <c r="C12" s="255" t="s">
        <v>38</v>
      </c>
      <c r="D12" s="17">
        <v>2025</v>
      </c>
    </row>
    <row r="13" spans="3:4" x14ac:dyDescent="0.3">
      <c r="C13" s="255" t="s">
        <v>39</v>
      </c>
      <c r="D13" s="17">
        <v>10</v>
      </c>
    </row>
    <row r="14" spans="3:4" x14ac:dyDescent="0.3">
      <c r="C14" s="255" t="s">
        <v>40</v>
      </c>
      <c r="D14" s="18">
        <v>7.0000000000000007E-2</v>
      </c>
    </row>
    <row r="15" spans="3:4" x14ac:dyDescent="0.3">
      <c r="D15" s="119" t="s">
        <v>41</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61"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A4DE"/>
    <pageSetUpPr autoPageBreaks="0"/>
  </sheetPr>
  <dimension ref="A1:BO25"/>
  <sheetViews>
    <sheetView showGridLines="0" zoomScale="90" zoomScaleNormal="90" zoomScaleSheetLayoutView="50" workbookViewId="0">
      <selection activeCell="B10" sqref="B10"/>
    </sheetView>
  </sheetViews>
  <sheetFormatPr defaultColWidth="9.109375" defaultRowHeight="25.2" customHeight="1" x14ac:dyDescent="0.3"/>
  <cols>
    <col min="1" max="1" width="11.5546875" style="249" customWidth="1"/>
    <col min="2" max="2" width="34.33203125" style="207" customWidth="1"/>
    <col min="3" max="3" width="16.33203125" style="207" customWidth="1"/>
    <col min="4" max="4" width="13.6640625" style="205" customWidth="1"/>
    <col min="5" max="5" width="11.5546875" style="205" customWidth="1"/>
    <col min="6" max="6" width="12.5546875" style="205" customWidth="1"/>
    <col min="7" max="7" width="12.33203125" style="205" customWidth="1"/>
    <col min="8" max="8" width="14.44140625" style="206" customWidth="1"/>
    <col min="9" max="10" width="16" style="206" customWidth="1"/>
    <col min="11" max="11" width="20.6640625" style="205" customWidth="1"/>
    <col min="12" max="12" width="19.44140625" style="267" customWidth="1"/>
    <col min="13" max="13" width="28.33203125" style="205" customWidth="1"/>
    <col min="14" max="14" width="26.44140625" style="205" customWidth="1"/>
    <col min="15" max="67" width="12.44140625" style="242" customWidth="1"/>
    <col min="68" max="92" width="12.44140625" style="207" customWidth="1"/>
    <col min="93" max="16384" width="9.109375" style="207"/>
  </cols>
  <sheetData>
    <row r="1" spans="1:25" ht="15" customHeight="1" x14ac:dyDescent="0.3"/>
    <row r="2" spans="1:25" ht="25.2" customHeight="1" x14ac:dyDescent="0.3">
      <c r="B2" s="204" t="s">
        <v>42</v>
      </c>
      <c r="C2" s="204"/>
      <c r="M2" s="208" t="s">
        <v>43</v>
      </c>
    </row>
    <row r="3" spans="1:25" ht="25.2" customHeight="1" x14ac:dyDescent="0.3">
      <c r="B3" s="204"/>
      <c r="C3" s="204"/>
      <c r="M3" s="264" t="str">
        <f>IF(ISERROR($P$5), "Delete everything in the range highlighted by the blue box after clicking the cell that says #SPILL!", IF(COUNTBLANK(_xlfn.ANCHORARRAY($L$5))=ROWS(_xlfn.ANCHORARRAY($L$5)), "", "Complete the entry of the manual stakeholder counts."))</f>
        <v/>
      </c>
    </row>
    <row r="4" spans="1:25" s="244" customFormat="1" ht="25.2" customHeight="1" x14ac:dyDescent="0.3">
      <c r="A4" s="250"/>
      <c r="B4" s="245"/>
      <c r="C4" s="245"/>
      <c r="D4" s="246"/>
      <c r="E4" s="246"/>
      <c r="F4" s="246"/>
      <c r="G4" s="253"/>
      <c r="H4" s="206"/>
      <c r="I4" s="206"/>
      <c r="J4" s="206"/>
      <c r="K4" s="232"/>
      <c r="L4" s="267"/>
      <c r="N4" s="246"/>
    </row>
    <row r="5" spans="1:25" s="210" customFormat="1" ht="25.2" customHeight="1" x14ac:dyDescent="0.3">
      <c r="A5" s="251"/>
      <c r="B5" s="209"/>
      <c r="C5" s="209"/>
      <c r="H5" s="243"/>
      <c r="I5" s="243"/>
      <c r="J5" s="243"/>
      <c r="L5" s="267" t="str" cm="1">
        <f t="array" ref="L5">IFERROR(_xlfn.LET(
_xlpm.a, _xlfn.MAKEARRAY(ROWS(tbl_Msc), 1, _xlfn.LAMBDA(_xlpm.r,_xlpm.c, IF(INDEX(tbl_Msc, _xlpm.r, 2)="Total Business Count", 0, IF(SUM(--(INDEX(tbl_Msc,_xlpm.r,)="blank"))&gt;0, 1, 0)))),
_xlpm.b, IFERROR(--(INDEX(tbl_Stakeholders[Automatic or Manual Growth], MATCH(INDEX(_xlfn.ANCHORARRAY($M$5),,1), tbl_Stakeholders[Stakeholder Group], 0))="Manual"), 0),
IF(_xlfn.VSTACK(_xlfn.SEQUENCE(MATCH(1, _xlpm.b, 0)-1,,0,0), _xlpm.a), "Complete this row ➤", "")), "")</f>
        <v/>
      </c>
      <c r="M5" s="210" t="str" cm="1">
        <f t="array" ref="M5">IFERROR(
_xlfn.LET(
_xlpm.filter, (--(ISBLANK(tbl_Stakeholders[Stakeholder Group]))=0)*(--((tbl_Stakeholders[Non-business Count]&lt;&gt;"")+(tbl_Stakeholders[Small Business Count]&lt;&gt;"")+(tbl_Stakeholders[Med/Large Business Count]&lt;&gt;"")&gt;0)),
_xlpm.fstakes, _xlfn._xlws.FILTER(tbl_Stakeholders[Stakeholder Group], _xlpm.filter),
_xlpm.grouptype,
     _xlfn.LET(_xlpm.a, IFERROR(_xlfn.TOCOL(IF(_xlfn.SEQUENCE(1, 4), _xlpm.fstakes),,0), ""),
     _xlpm.b, IFERROR(_xlfn.TOCOL(IF(_xlfn.SEQUENCE(ROWS(_xlpm.fstakes)), tbl_Stakeholders[[#Headers],[Non-business Count]:[Total Business Count]]),,0), ""),
     _xlpm.c, _xlfn.HSTACK(_xlpm.a, _xlpm.b),
     _xlpm.d, IF(_xlpm.b="Total Business Count", INDEX(_xlfn._xlws.FILTER(tbl_Stakeholders[Total Business Count], _xlpm.filter), MATCH(_xlpm.a, _xlpm.fstakes, 0))&gt;0, NOT(ISBLANK(INDEX(_xlfn._xlws.FILTER(tbl_Stakeholders[[Non-business Count]:[Med/Large Business Count]], _xlpm.filter), MATCH(_xlpm.a, _xlpm.fstakes, 0), MATCH(_xlpm.b, tbl_Stakeholders[[#Headers],[Non-business Count]:[Med/Large Business Count]], 0))))),
     _xlpm.e, _xlfn._xlws.FILTER(_xlpm.c, _xlpm.d),
     _xlfn.SORTBY(_xlpm.e, _xlfn.LET(_xlpm.x, INDEX(_xlfn._xlws.FILTER(tbl_Stakeholders[Automatic or Manual Growth], _xlpm.filter), MATCH(INDEX(_xlpm.e,,1), _xlpm.fstakes, 0)), IF(_xlpm.x="", "Automatic", _xlpm.x)))),
_xlpm.GroupTypeP0, _xlfn.HSTACK(_xlpm.grouptype, IFERROR(INDEX(_xlfn._xlws.FILTER(tbl_Stakeholders[[Non-business Count]:[Total Business Count]], _xlpm.filter), MATCH(INDEX(_xlpm.grouptype,,1), _xlpm.fstakes, 0), MATCH(INDEX(_xlpm.grouptype,,2), tbl_Stakeholders[[#Headers],[Non-business Count]:[Total Business Count]], 0)), "")),
_xlpm.ManualGrowthCount, SUM(--(INDEX(tbl_Stakeholders[Automatic or Manual Growth], MATCH(INDEX(_xlpm.GroupTypeP0,,1), tbl_Stakeholders[Stakeholder Group], 0))="Manual")),
_xlpm.AllManual, SUM(--(_xlfn._xlws.FILTER(tbl_Stakeholders[Automatic or Manual Growth], _xlpm.filter)="Manual"))=ROWS(_xlfn._xlws.FILTER(tbl_Stakeholders[Automatic or Manual Growth], _xlpm.filter)),
_xlpm.AllAuto, SUM(--(_xlfn._xlws.FILTER(tbl_Stakeholders[Automatic or Manual Growth], _xlpm.filter)="Automatic"))+SUM(--(_xlfn._xlws.FILTER(tbl_Stakeholders[Automatic or Manual Growth], _xlpm.filter)=""))=ROWS(_xlfn._xlws.FILTER(tbl_Stakeholders[Automatic or Manual Growth], _xlpm.filter)),
_xlpm.x, _xlfn.DROP(
_xlfn.DROP(
_xlfn.VSTACK(
IF(_xlpm.AllManual, "", _xlfn.VSTACK("Automatic",
_xlfn.HSTACK("Group","Type", YoR),
_xlfn.DROP(_xlpm.GroupTypeP0, IF(_xlpm.ManualGrowthCount=0, 0, -_xlpm.ManualGrowthCount)))),
IF(_xlpm.ManualGrowthCount=0, "",
_xlfn.VSTACK("",
"Manual",
_xlfn.HSTACK("Group", "Type", YoR),
_xlfn.TAKE(_xlpm.GroupTypeP0, -_xlpm.ManualGrowthCount)))),
IF(_xlpm.AllAuto, 1,
IF(_xlpm.AllManual, 3, 0))),
IF(_xlpm.AllAuto, -1, 0)),
_xlpm.x),
"")</f>
        <v/>
      </c>
      <c r="P5" s="210" t="str" cm="1">
        <f t="array" ref="P5:Y5">IFERROR(_xlfn.LET(_xlpm.year, _xlfn.SEQUENCE(1, Time, YoR),
_xlpm.timecount, _xlfn.SEQUENCE(1, Time),
_xlpm.ManualGrowthCount, SUM(--(IFERROR(INDEX(tbl_Stakeholders[Automatic or Manual Growth], MATCH(INDEX(_xlfn.ANCHORARRAY(M5),, 1), tbl_Stakeholders[Stakeholder Group], 0))="Manual", 0))),
_xlfn.MAKEARRAY(ROWS(_xlfn.ANCHORARRAY(M5))-_xlpm.ManualGrowthCount, Time, _xlfn.LAMBDA(_xlpm.r,_xlpm.c,
_xlfn.LET(_xlpm.ThisGroup, MATCH(INDEX(_xlfn.ANCHORARRAY(M5), _xlpm.r, 1), tbl_Stakeholders[Stakeholder Group], 0),
_xlpm.x, INDEX(tbl_Stakeholders[Non-business Count], _xlpm.ThisGroup)*(1+INDEX(tbl_Stakeholders[Non-business Growth Rate], _xlpm.ThisGroup))^INDEX(_xlpm.timecount,, _xlpm.c),
_xlpm.y, INDEX(tbl_Stakeholders[Small Business Count], _xlpm.ThisGroup)*(1+INDEX(tbl_Stakeholders[Small Business Growth Rate], _xlpm.ThisGroup))^INDEX(_xlpm.timecount,,_xlpm.c),
_xlpm.z, INDEX(tbl_Stakeholders[Med/Large Business Count], _xlpm.ThisGroup)*(1+INDEX(tbl_Stakeholders[Med/Large Business Growth Rate], _xlpm.ThisGroup))^INDEX(_xlpm.timecount,,_xlpm.c),
IF(INDEX(_xlfn.ANCHORARRAY(M5),_xlpm.r, 2)="", "", IF(INDEX(_xlfn.ANCHORARRAY(M5), _xlpm.r, 2)="Type", INDEX(_xlpm.year,1,_xlpm.c),
IF(INDEX(_xlfn.ANCHORARRAY(M5), _xlpm.r, 2)="Non-business Count", _xlpm.x,
IF(INDEX(_xlfn.ANCHORARRAY(M5), _xlpm.r, 2)="Small Business Count", _xlpm.y,
IF(INDEX(_xlfn.ANCHORARRAY(M5), _xlpm.r, 2)="Med/Large Business Count", _xlpm.z,
IF(INDEX(_xlfn.ANCHORARRAY(M5), _xlpm.r, 2)="Total Business Count", _xlpm.y+_xlpm.z,)))))))))), "")</f>
        <v/>
      </c>
      <c r="Q5" s="252" t="str">
        <v/>
      </c>
      <c r="R5" s="252" t="str">
        <v/>
      </c>
      <c r="S5" s="252" t="str">
        <v/>
      </c>
      <c r="T5" s="252" t="str">
        <v/>
      </c>
      <c r="U5" s="252" t="str">
        <v/>
      </c>
      <c r="V5" s="252" t="str">
        <v/>
      </c>
      <c r="W5" s="252" t="str">
        <v/>
      </c>
      <c r="X5" s="252" t="str">
        <v/>
      </c>
      <c r="Y5" s="252" t="str">
        <v/>
      </c>
    </row>
    <row r="6" spans="1:25" ht="25.2" customHeight="1" x14ac:dyDescent="0.3">
      <c r="B6" s="220"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C6" s="220"/>
    </row>
    <row r="9" spans="1:25" ht="36" customHeight="1" x14ac:dyDescent="0.3">
      <c r="A9" s="249"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18" t="s">
        <v>44</v>
      </c>
      <c r="C9" s="218" t="s">
        <v>45</v>
      </c>
      <c r="D9" s="218" t="s">
        <v>46</v>
      </c>
      <c r="E9" s="218" t="s">
        <v>47</v>
      </c>
      <c r="F9" s="218" t="s">
        <v>48</v>
      </c>
      <c r="G9" s="218" t="s">
        <v>49</v>
      </c>
      <c r="H9" s="219" t="s">
        <v>50</v>
      </c>
      <c r="I9" s="219" t="s">
        <v>51</v>
      </c>
      <c r="J9" s="219" t="s">
        <v>52</v>
      </c>
      <c r="K9" s="218" t="s">
        <v>53</v>
      </c>
    </row>
    <row r="10" spans="1:25" ht="24.6" customHeight="1" x14ac:dyDescent="0.3">
      <c r="A10" s="249" t="str">
        <v>Type here ➤</v>
      </c>
      <c r="B10" s="224"/>
      <c r="C10" s="225"/>
      <c r="D10" s="225"/>
      <c r="E10" s="225"/>
      <c r="F10" s="265">
        <f>tbl_Stakeholders[[#This Row],[Small Business Count]]+tbl_Stakeholders[[#This Row],[Med/Large Business Count]]</f>
        <v>0</v>
      </c>
      <c r="G10" s="229"/>
      <c r="H10" s="217"/>
      <c r="I10" s="223"/>
      <c r="J10" s="223"/>
      <c r="K10" s="166"/>
    </row>
    <row r="11" spans="1:25" ht="24.6" customHeight="1" x14ac:dyDescent="0.3">
      <c r="A11" s="249" t="str">
        <v/>
      </c>
      <c r="B11" s="226"/>
      <c r="C11" s="226"/>
      <c r="D11" s="226"/>
      <c r="E11" s="226"/>
      <c r="F11" s="266">
        <f>tbl_Stakeholders[[#This Row],[Small Business Count]]+tbl_Stakeholders[[#This Row],[Med/Large Business Count]]</f>
        <v>0</v>
      </c>
      <c r="G11" s="229"/>
      <c r="H11" s="227"/>
      <c r="I11" s="227"/>
      <c r="J11" s="227"/>
      <c r="K11" s="226"/>
    </row>
    <row r="12" spans="1:25" ht="25.2" customHeight="1" x14ac:dyDescent="0.3">
      <c r="A12" s="249" t="str">
        <v/>
      </c>
    </row>
    <row r="13" spans="1:25" ht="25.2" customHeight="1" x14ac:dyDescent="0.3">
      <c r="B13" s="205"/>
    </row>
    <row r="18" spans="3:11" ht="25.2" customHeight="1" x14ac:dyDescent="0.3">
      <c r="C18" s="247"/>
      <c r="K18" s="248"/>
    </row>
    <row r="20" spans="3:11" ht="24" customHeight="1" x14ac:dyDescent="0.3"/>
    <row r="23" spans="3:11" ht="25.2" customHeight="1" x14ac:dyDescent="0.3">
      <c r="F23" s="228"/>
      <c r="H23" s="248"/>
    </row>
    <row r="25" spans="3:11" ht="25.2" customHeight="1" x14ac:dyDescent="0.3">
      <c r="C25" s="205"/>
      <c r="D25" s="206"/>
      <c r="E25" s="231"/>
    </row>
  </sheetData>
  <sheetProtection insertColumns="0" insertRows="0" deleteRows="0" sort="0"/>
  <conditionalFormatting sqref="B6:C6">
    <cfRule type="expression" dxfId="60" priority="9">
      <formula>LEFT($B$6, 3)="Use"</formula>
    </cfRule>
  </conditionalFormatting>
  <conditionalFormatting sqref="H10:J11">
    <cfRule type="expression" dxfId="59" priority="8">
      <formula>$G10="Manual"</formula>
    </cfRule>
  </conditionalFormatting>
  <conditionalFormatting sqref="M1:M3 M5:M1048576">
    <cfRule type="expression" dxfId="58" priority="4">
      <formula>(M1="Manual")*(N1="")</formula>
    </cfRule>
    <cfRule type="expression" dxfId="57" priority="5">
      <formula>(M1="Automatic")*(N1="")</formula>
    </cfRule>
  </conditionalFormatting>
  <conditionalFormatting sqref="M3:O3">
    <cfRule type="expression" dxfId="56" priority="2">
      <formula>$M3&lt;&gt;""</formula>
    </cfRule>
  </conditionalFormatting>
  <conditionalFormatting sqref="M6:CX200">
    <cfRule type="notContainsBlanks" dxfId="55" priority="7">
      <formula>LEN(TRIM(M6))&gt;0</formula>
    </cfRule>
  </conditionalFormatting>
  <conditionalFormatting sqref="M1:CY3 M5:CY1048576">
    <cfRule type="expression" dxfId="54" priority="3">
      <formula>($M1="Group")*($N1="Type")*(--NOT(ISBLANK(M1)))</formula>
    </cfRule>
  </conditionalFormatting>
  <conditionalFormatting sqref="N4:CY4">
    <cfRule type="expression" dxfId="53" priority="210">
      <formula>(#REF!="Group")*($N4="Type")*(--NOT(ISBLANK(N4)))</formula>
    </cfRule>
  </conditionalFormatting>
  <conditionalFormatting sqref="P3:T3">
    <cfRule type="expression" dxfId="52" priority="1">
      <formula>LEFT($M3, 3)="Del"</formula>
    </cfRule>
  </conditionalFormatting>
  <dataValidations xWindow="414" yWindow="672" count="7">
    <dataValidation allowBlank="1" showErrorMessage="1" sqref="P6" xr:uid="{F26092D7-8386-49AF-987C-38C3B746124E}"/>
    <dataValidation allowBlank="1" showInputMessage="1" showErrorMessage="1" prompt="Use a unique name for each stakeholder group." sqref="B10:B11" xr:uid="{5E26BE72-4E6C-4BFD-B9D8-1970F3937795}"/>
    <dataValidation type="list" allowBlank="1" showInputMessage="1" showErrorMessage="1" prompt="Automatic: enter initial stakeholder counts and growth rates in this table, and the RCC will project future counts using exponential growth_x000a__x000a_Manual: enter stakeholder counts in every year in the analysis, in the table to the right" sqref="G10:G11" xr:uid="{E6F5D2DD-288E-45DD-ABEC-7550EC859930}">
      <formula1>"Automatic, Manual"</formula1>
    </dataValidation>
    <dataValidation operator="greaterThanOrEqual" allowBlank="1" showInputMessage="1" showErrorMessage="1" sqref="G5" xr:uid="{5B6D9D01-7DC5-410B-A688-B3FBEBDE9AB1}"/>
    <dataValidation allowBlank="1" showInputMessage="1" showErrorMessage="1" prompt="If this says #SPILL! then delete everything in the range that is highlighted by the blue box." sqref="P5" xr:uid="{50BFA231-2486-4733-891A-585F7233E3F7}"/>
    <dataValidation type="decimal" allowBlank="1" showInputMessage="1" showErrorMessage="1" sqref="H10:J1048576" xr:uid="{74FDCC00-7FE5-44E6-9A13-8B4017A9E3CD}">
      <formula1>-0.99</formula1>
      <formula2>1</formula2>
    </dataValidation>
    <dataValidation type="decimal" operator="greaterThanOrEqual" allowBlank="1" showInputMessage="1" showErrorMessage="1" sqref="C10:E1048576" xr:uid="{CCDF5889-37D4-4A71-930D-668F95D9A417}">
      <formula1>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A4DE"/>
    <pageSetUpPr autoPageBreaks="0"/>
  </sheetPr>
  <dimension ref="A1:V15"/>
  <sheetViews>
    <sheetView showGridLines="0" topLeftCell="A6" zoomScale="90" zoomScaleNormal="90" zoomScaleSheetLayoutView="50" workbookViewId="0">
      <selection activeCell="B13" sqref="B13"/>
    </sheetView>
  </sheetViews>
  <sheetFormatPr defaultColWidth="9.109375" defaultRowHeight="33" customHeight="1" outlineLevelCol="1" x14ac:dyDescent="0.2"/>
  <cols>
    <col min="1" max="1" width="11.44140625" style="101" customWidth="1" outlineLevel="1"/>
    <col min="2" max="2" width="30" style="103" customWidth="1"/>
    <col min="3" max="3" width="15.5546875" style="103" customWidth="1"/>
    <col min="4" max="4" width="10.6640625" style="103" customWidth="1"/>
    <col min="5" max="5" width="10.44140625" style="103" customWidth="1"/>
    <col min="6" max="6" width="16.44140625" style="103" customWidth="1"/>
    <col min="7" max="7" width="14.88671875" style="103" customWidth="1"/>
    <col min="8" max="8" width="13.109375" style="103" customWidth="1"/>
    <col min="9" max="9" width="13.5546875" style="103" customWidth="1"/>
    <col min="10" max="10" width="10.6640625" style="201" customWidth="1"/>
    <col min="11" max="11" width="14.5546875" style="103" customWidth="1"/>
    <col min="12" max="12" width="10.109375" style="103" customWidth="1"/>
    <col min="13" max="13" width="11.109375" style="103" customWidth="1"/>
    <col min="14" max="14" width="9.33203125" style="103" customWidth="1" outlineLevel="1"/>
    <col min="15" max="15" width="10" style="103" customWidth="1" outlineLevel="1"/>
    <col min="16" max="16" width="13.33203125" style="103" customWidth="1" outlineLevel="1"/>
    <col min="17" max="17" width="11.33203125" style="197" customWidth="1"/>
    <col min="18" max="18" width="16.109375" style="197" customWidth="1"/>
    <col min="19" max="19" width="14.109375" style="103" customWidth="1"/>
    <col min="20" max="20" width="30.88671875" style="192" customWidth="1"/>
    <col min="21" max="21" width="65.109375" style="22" customWidth="1" outlineLevel="1"/>
    <col min="22" max="22" width="62.88671875" style="103" customWidth="1" outlineLevel="1"/>
    <col min="23" max="16384" width="9.109375" style="103"/>
  </cols>
  <sheetData>
    <row r="1" spans="1:22" ht="15.75" customHeight="1" x14ac:dyDescent="0.2"/>
    <row r="2" spans="1:22" ht="15.75" customHeight="1" x14ac:dyDescent="0.3">
      <c r="B2" s="102" t="s">
        <v>54</v>
      </c>
      <c r="N2" s="104"/>
    </row>
    <row r="3" spans="1:22" ht="15.75" customHeight="1" x14ac:dyDescent="0.25">
      <c r="B3" s="105"/>
      <c r="N3" s="104"/>
    </row>
    <row r="4" spans="1:22" ht="15.75" customHeight="1" x14ac:dyDescent="0.25">
      <c r="B4" s="105"/>
      <c r="H4" s="118"/>
      <c r="I4" s="118"/>
      <c r="J4" s="202"/>
      <c r="K4" s="118"/>
      <c r="L4" s="118"/>
      <c r="M4" s="118"/>
      <c r="N4" s="118"/>
      <c r="O4" s="118"/>
      <c r="P4" s="118"/>
      <c r="Q4" s="198"/>
      <c r="R4" s="198"/>
      <c r="S4" s="118"/>
      <c r="T4" s="193"/>
      <c r="U4" s="118"/>
    </row>
    <row r="5" spans="1:22" ht="15.75" customHeight="1" x14ac:dyDescent="0.2">
      <c r="H5" s="118"/>
      <c r="I5" s="118"/>
      <c r="J5" s="202"/>
      <c r="K5" s="118"/>
      <c r="L5" s="118"/>
      <c r="M5" s="118"/>
      <c r="N5" s="118"/>
      <c r="O5" s="118"/>
      <c r="P5" s="118"/>
      <c r="Q5" s="198"/>
      <c r="R5" s="198"/>
      <c r="S5" s="118"/>
      <c r="T5" s="193"/>
      <c r="U5" s="118"/>
    </row>
    <row r="6" spans="1:22" ht="15.75" customHeight="1" x14ac:dyDescent="0.2">
      <c r="H6" s="118"/>
      <c r="I6" s="118"/>
      <c r="J6" s="202"/>
      <c r="K6" s="118"/>
      <c r="L6" s="118"/>
      <c r="M6" s="118"/>
      <c r="N6" s="118"/>
      <c r="O6" s="118"/>
      <c r="P6" s="118"/>
      <c r="Q6" s="198"/>
      <c r="R6" s="198"/>
      <c r="S6" s="118"/>
      <c r="T6" s="193"/>
      <c r="U6" s="118"/>
    </row>
    <row r="7" spans="1:22" ht="15.75" customHeight="1" x14ac:dyDescent="0.2">
      <c r="H7" s="118"/>
      <c r="I7" s="118"/>
      <c r="K7" s="118"/>
      <c r="L7" s="118"/>
      <c r="M7" s="118"/>
      <c r="N7" s="118"/>
      <c r="O7" s="118"/>
      <c r="P7" s="118"/>
      <c r="Q7" s="198"/>
      <c r="R7" s="198"/>
      <c r="S7" s="118"/>
      <c r="T7" s="193"/>
      <c r="U7" s="118"/>
    </row>
    <row r="8" spans="1:22" ht="15.75" customHeight="1" x14ac:dyDescent="0.2">
      <c r="H8" s="118"/>
      <c r="I8" s="118"/>
      <c r="J8" s="202"/>
      <c r="K8" s="118"/>
      <c r="L8" s="118"/>
      <c r="M8" s="118"/>
      <c r="N8" s="118"/>
      <c r="O8" s="118"/>
      <c r="P8" s="118"/>
      <c r="Q8" s="198"/>
      <c r="R8" s="198"/>
      <c r="S8" s="118"/>
      <c r="U8" s="118"/>
    </row>
    <row r="9" spans="1:22" ht="15.75" customHeight="1" x14ac:dyDescent="0.3">
      <c r="B9" s="124"/>
      <c r="N9" s="104"/>
      <c r="T9" s="194"/>
      <c r="U9"/>
    </row>
    <row r="10" spans="1:22" ht="15.75" customHeight="1" x14ac:dyDescent="0.2">
      <c r="N10" s="104"/>
      <c r="T10" s="194"/>
    </row>
    <row r="11" spans="1:22" ht="15.75" customHeight="1" x14ac:dyDescent="0.2">
      <c r="N11" s="104"/>
      <c r="T11" s="194"/>
    </row>
    <row r="12" spans="1:22" ht="44.4" customHeight="1" x14ac:dyDescent="0.2">
      <c r="A12" s="106"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07" t="s">
        <v>55</v>
      </c>
      <c r="C12" s="108" t="s">
        <v>56</v>
      </c>
      <c r="D12" s="108" t="s">
        <v>57</v>
      </c>
      <c r="E12" s="108" t="s">
        <v>58</v>
      </c>
      <c r="F12" s="108" t="s">
        <v>59</v>
      </c>
      <c r="G12" s="108" t="s">
        <v>60</v>
      </c>
      <c r="H12" s="108" t="s">
        <v>61</v>
      </c>
      <c r="I12" s="108" t="s">
        <v>62</v>
      </c>
      <c r="J12" s="203" t="s">
        <v>63</v>
      </c>
      <c r="K12" s="108" t="s">
        <v>64</v>
      </c>
      <c r="L12" s="108" t="s">
        <v>65</v>
      </c>
      <c r="M12" s="108" t="s">
        <v>66</v>
      </c>
      <c r="N12" s="108" t="s">
        <v>67</v>
      </c>
      <c r="O12" s="108" t="s">
        <v>68</v>
      </c>
      <c r="P12" s="108" t="s">
        <v>69</v>
      </c>
      <c r="Q12" s="199" t="s">
        <v>70</v>
      </c>
      <c r="R12" s="199" t="s">
        <v>71</v>
      </c>
      <c r="S12" s="108" t="s">
        <v>72</v>
      </c>
      <c r="T12" s="195" t="s">
        <v>73</v>
      </c>
      <c r="U12" s="110" t="s">
        <v>74</v>
      </c>
      <c r="V12" s="109" t="s">
        <v>53</v>
      </c>
    </row>
    <row r="13" spans="1:22" ht="33" customHeight="1" x14ac:dyDescent="0.2">
      <c r="A13" s="101" t="str">
        <v>Type here ➤</v>
      </c>
      <c r="B13" s="69"/>
      <c r="C13" s="29"/>
      <c r="D13" s="29"/>
      <c r="E13" s="29"/>
      <c r="F13" s="112"/>
      <c r="G13" s="112"/>
      <c r="H13" s="29"/>
      <c r="I13" s="29"/>
      <c r="J13" s="117"/>
      <c r="K13" s="29"/>
      <c r="L13" s="29"/>
      <c r="M13" s="113"/>
      <c r="N13" s="114"/>
      <c r="O13" s="283"/>
      <c r="P13" s="114"/>
      <c r="Q13" s="115"/>
      <c r="R13" s="200"/>
      <c r="S13" s="113"/>
      <c r="T13" s="196"/>
      <c r="U13" s="126"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3" s="116"/>
    </row>
    <row r="14" spans="1:22" ht="33" customHeight="1" x14ac:dyDescent="0.2">
      <c r="A14" s="101" t="str">
        <v/>
      </c>
      <c r="B14" s="69"/>
      <c r="C14" s="29"/>
      <c r="D14" s="29"/>
      <c r="E14" s="29"/>
      <c r="F14" s="112"/>
      <c r="G14" s="112"/>
      <c r="H14" s="29"/>
      <c r="I14" s="29"/>
      <c r="J14" s="117"/>
      <c r="K14" s="29"/>
      <c r="L14" s="29"/>
      <c r="M14" s="113"/>
      <c r="N14" s="114"/>
      <c r="O14" s="283"/>
      <c r="P14" s="114"/>
      <c r="Q14" s="115"/>
      <c r="R14" s="200"/>
      <c r="S14" s="113"/>
      <c r="T14" s="196"/>
      <c r="U14" s="284"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4" s="285"/>
    </row>
    <row r="15" spans="1:22" ht="33" customHeight="1" x14ac:dyDescent="0.2">
      <c r="A15" s="101"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1" priority="4">
      <formula>LEN(TRIM(B13))&gt;0</formula>
    </cfRule>
  </conditionalFormatting>
  <conditionalFormatting sqref="N13:P14">
    <cfRule type="expression" dxfId="50" priority="5">
      <formula>$M13="Capital"</formula>
    </cfRule>
  </conditionalFormatting>
  <conditionalFormatting sqref="R13:T14">
    <cfRule type="expression" dxfId="49" priority="26">
      <formula>$M13="Capital"</formula>
    </cfRule>
  </conditionalFormatting>
  <conditionalFormatting sqref="U13:U14">
    <cfRule type="expression" dxfId="48" priority="1">
      <formula>IF(LEFT(U13, 5)="A neg", 1, 0)</formula>
    </cfRule>
    <cfRule type="expression" dxfId="47" priority="2">
      <formula>IF(LEFT(U13, 8)="Consider", 1, 0)</formula>
    </cfRule>
    <cfRule type="expression" dxfId="46" priority="3">
      <formula>IF(LEFT(U13, 6)="Ensure", 1, 0)</formula>
    </cfRule>
    <cfRule type="expression" dxfId="45" priority="27">
      <formula>IF(U13="Based on the parameters that have been entered, this activity does not result in any incremental impact. ", 1, 0)</formula>
    </cfRule>
    <cfRule type="notContainsBlanks" dxfId="44" priority="201">
      <formula>LEN(TRIM(U13))&gt;0</formula>
    </cfRule>
    <cfRule type="containsBlanks" dxfId="43" priority="201">
      <formula>LEN(TRIM(U13))=0</formula>
    </cfRule>
  </conditionalFormatting>
  <dataValidations xWindow="1516" yWindow="753" count="9">
    <dataValidation type="list" allowBlank="1" showInputMessage="1" showErrorMessage="1" sqref="E13:E14" xr:uid="{B751E2D9-B759-430A-9D98-DC2936111F59}">
      <formula1>"Upfront, Ongoing"</formula1>
    </dataValidation>
    <dataValidation type="list" allowBlank="1" showInputMessage="1" showErrorMessage="1" sqref="C13:C14" xr:uid="{193CAD41-F53B-4672-864C-A0C473390CD6}">
      <formula1>"Administrative, Compliance"</formula1>
    </dataValidation>
    <dataValidation type="list" allowBlank="1" showInputMessage="1" showErrorMessage="1" sqref="I13:I14" xr:uid="{EBFFB437-4B19-4845-8861-05782E839271}">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3A367351-2EEC-488E-B102-56E5C1BE2EDE}">
      <formula1>"Capital, Labour"</formula1>
    </dataValidation>
    <dataValidation type="decimal" allowBlank="1" showInputMessage="1" showErrorMessage="1" sqref="J13:J14" xr:uid="{892C227E-707D-46EF-BBA3-A44800E66DBF}">
      <formula1>0</formula1>
      <formula2>1</formula2>
    </dataValidation>
    <dataValidation type="list" allowBlank="1" showInputMessage="1" showErrorMessage="1" prompt="If this column is blank, no overhead will be added to the wage." sqref="S13:S14" xr:uid="{E850B216-AD5D-48A5-9DA8-28BFADE8A1E2}">
      <formula1>"Internal (25%), External (50%)"</formula1>
    </dataValidation>
    <dataValidation type="list" allowBlank="1" showInputMessage="1" showErrorMessage="1" sqref="K13:L14" xr:uid="{9817D01E-2994-4D53-A407-68D327BF6ADD}">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445CF998-A191-44A7-BCC8-5DC7ABAEF516}"/>
    <dataValidation type="list" allowBlank="1" showInputMessage="1" showErrorMessage="1" prompt="For the One-for-one rule, an IN is an Administrative Cost and an OUT is an Administrative Benefit." sqref="D13:D14" xr:uid="{7D37401F-B210-4006-B7CD-73B1F3F3D053}">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5">
        <x14:dataValidation type="list" allowBlank="1" showInputMessage="1" showErrorMessage="1" xr:uid="{F63F34DE-F62D-461A-847E-F01D8F459516}">
          <x14:formula1>
            <xm:f>_xlfn.ANCHORARRAY(Controls!$B$2)</xm:f>
          </x14:formula1>
          <xm:sqref>H13:H14</xm:sqref>
        </x14:dataValidation>
        <x14:dataValidation type="list" allowBlank="1" showInputMessage="1" showErrorMessage="1" xr:uid="{D64C9AE3-C0CD-40DE-98D3-5C1E81AD90C0}">
          <x14:formula1>
            <xm:f>_xlfn.ANCHORARRAY(Controls!$G$2)</xm:f>
          </x14:formula1>
          <xm:sqref>F13:G14</xm:sqref>
        </x14:dataValidation>
        <x14:dataValidation type="list" allowBlank="1" showInputMessage="1" showErrorMessage="1" xr:uid="{679A5E9A-E1B3-496F-A820-49B088F40413}">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72172E92-1B3E-4A31-A87B-F36F861ED65D}">
          <x14:formula1>
            <xm:f>_xlfn.ANCHORARRAY(Controls!$I$2)</xm:f>
          </x14:formula1>
          <xm:sqref>T13:T14</xm:sqref>
        </x14:dataValidation>
        <x14:dataValidation type="list" errorStyle="warning" allowBlank="1" showInputMessage="1" showErrorMessage="1" errorTitle="Frequency outside range" error="Frequencies above 1 should not exceed 12, and frequencies less than 1 should be between 1/2 and 1/Time (where Time is the total length of the analytical period). The frequency must be a positive number." prompt="The annual frequency determines the number of periods per year, which affects the stakeholder counts and discount factors." xr:uid="{19C73430-DA2F-4BD9-99B8-7734B0C89248}">
          <x14:formula1>
            <xm:f>_xlfn.ANCHORARRAY(Controls!$A$2)</xm:f>
          </x14:formula1>
          <xm:sqref>Q13:Q14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00B050"/>
  </sheetPr>
  <dimension ref="B1:N47"/>
  <sheetViews>
    <sheetView showGridLines="0" zoomScaleNormal="100" workbookViewId="0">
      <selection activeCell="C17" sqref="C17"/>
    </sheetView>
  </sheetViews>
  <sheetFormatPr defaultColWidth="9.109375" defaultRowHeight="11.4" x14ac:dyDescent="0.2"/>
  <cols>
    <col min="1" max="1" width="4" style="11" customWidth="1"/>
    <col min="2" max="2" width="68.33203125" style="16" customWidth="1"/>
    <col min="3" max="3" width="19.6640625" style="11" customWidth="1"/>
    <col min="4" max="14" width="15.88671875" style="11" customWidth="1"/>
    <col min="15" max="16384" width="9.109375" style="11"/>
  </cols>
  <sheetData>
    <row r="1" spans="2:3" s="167" customFormat="1" ht="15" customHeight="1" x14ac:dyDescent="0.3">
      <c r="B1" s="176"/>
    </row>
    <row r="2" spans="2:3" s="167" customFormat="1" ht="15" customHeight="1" x14ac:dyDescent="0.3">
      <c r="B2" s="177" t="s">
        <v>76</v>
      </c>
    </row>
    <row r="3" spans="2:3" s="167" customFormat="1" ht="15" customHeight="1" x14ac:dyDescent="0.3">
      <c r="B3" s="178"/>
    </row>
    <row r="4" spans="2:3" s="167" customFormat="1" ht="15" customHeight="1" x14ac:dyDescent="0.3">
      <c r="B4" s="20" t="s">
        <v>77</v>
      </c>
    </row>
    <row r="5" spans="2:3" s="167" customFormat="1" ht="15" customHeight="1" x14ac:dyDescent="0.3">
      <c r="B5" s="179" t="s">
        <v>78</v>
      </c>
      <c r="C5" s="76">
        <f>SUM(tbl_Stakeholders[Total Business Count])</f>
        <v>0</v>
      </c>
    </row>
    <row r="6" spans="2:3" s="167" customFormat="1" ht="15" customHeight="1" x14ac:dyDescent="0.3">
      <c r="B6" s="180" t="s">
        <v>79</v>
      </c>
      <c r="C6" s="47" t="str">
        <f>"10 ("&amp;YoR&amp;" to "&amp;YoR+10-1&amp;")"</f>
        <v>10 (2025 to 2034)</v>
      </c>
    </row>
    <row r="7" spans="2:3" s="167" customFormat="1" ht="15" customHeight="1" x14ac:dyDescent="0.3">
      <c r="B7" s="180" t="s">
        <v>80</v>
      </c>
      <c r="C7" s="47">
        <v>2012</v>
      </c>
    </row>
    <row r="8" spans="2:3" s="167" customFormat="1" ht="15" customHeight="1" x14ac:dyDescent="0.3">
      <c r="B8" s="180" t="s">
        <v>81</v>
      </c>
      <c r="C8" s="47">
        <v>2012</v>
      </c>
    </row>
    <row r="9" spans="2:3" s="167" customFormat="1" ht="15" customHeight="1" x14ac:dyDescent="0.3">
      <c r="B9" s="181" t="s">
        <v>82</v>
      </c>
      <c r="C9" s="216">
        <v>7.0000000000000007E-2</v>
      </c>
    </row>
    <row r="10" spans="2:3" ht="15" customHeight="1" x14ac:dyDescent="0.2"/>
    <row r="11" spans="2:3" s="167" customFormat="1" ht="15" customHeight="1" x14ac:dyDescent="0.3">
      <c r="B11" s="182"/>
      <c r="C11" s="183"/>
    </row>
    <row r="12" spans="2:3" s="167" customFormat="1" ht="15" customHeight="1" x14ac:dyDescent="0.3">
      <c r="B12" s="182"/>
      <c r="C12" s="183"/>
    </row>
    <row r="13" spans="2:3" s="167" customFormat="1" ht="15" customHeight="1" x14ac:dyDescent="0.3">
      <c r="B13" s="182"/>
      <c r="C13" s="183"/>
    </row>
    <row r="14" spans="2:3" s="167" customFormat="1" ht="15" customHeight="1" x14ac:dyDescent="0.3">
      <c r="B14" s="20" t="s">
        <v>83</v>
      </c>
      <c r="C14" s="183"/>
    </row>
    <row r="15" spans="2:3" s="167" customFormat="1" ht="15" customHeight="1" x14ac:dyDescent="0.3">
      <c r="B15" s="35" t="s">
        <v>84</v>
      </c>
      <c r="C15" s="38">
        <f>$M$47</f>
        <v>0</v>
      </c>
    </row>
    <row r="16" spans="2:3" s="167" customFormat="1" ht="15" customHeight="1" x14ac:dyDescent="0.3">
      <c r="B16" s="36" t="s">
        <v>85</v>
      </c>
      <c r="C16" s="184">
        <f>IFERROR($C$15/$C$5, 0)</f>
        <v>0</v>
      </c>
    </row>
    <row r="17" spans="2:14" s="167" customFormat="1" ht="15" customHeight="1" x14ac:dyDescent="0.3">
      <c r="B17" s="36" t="s">
        <v>86</v>
      </c>
      <c r="C17" s="185">
        <f>$C$15*AF_7_10</f>
        <v>0</v>
      </c>
    </row>
    <row r="18" spans="2:14" s="167" customFormat="1" ht="15" customHeight="1" x14ac:dyDescent="0.3">
      <c r="B18" s="37" t="s">
        <v>87</v>
      </c>
      <c r="C18" s="186">
        <f>IFERROR($C$17/$C$5, 0)</f>
        <v>0</v>
      </c>
    </row>
    <row r="19" spans="2:14" s="167" customFormat="1" ht="15" customHeight="1" x14ac:dyDescent="0.3">
      <c r="B19" s="21" t="s">
        <v>88</v>
      </c>
    </row>
    <row r="20" spans="2:14" ht="15" customHeight="1" x14ac:dyDescent="0.2">
      <c r="B20" s="21"/>
    </row>
    <row r="21" spans="2:14" s="167" customFormat="1" ht="15" customHeight="1" x14ac:dyDescent="0.3">
      <c r="B21" s="128"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1"/>
    </row>
    <row r="23" spans="2:14" ht="22.8" x14ac:dyDescent="0.4">
      <c r="B23" s="125" t="s">
        <v>89</v>
      </c>
    </row>
    <row r="24" spans="2:14" ht="318" customHeight="1" x14ac:dyDescent="0.2">
      <c r="B24" s="53" t="str">
        <f>OneforOneText</f>
        <v>The one-for-one rule does not apply as there is no impact on business.</v>
      </c>
      <c r="C24" s="48"/>
      <c r="D24" s="49"/>
      <c r="E24" s="49"/>
    </row>
    <row r="26" spans="2:14" s="167" customFormat="1" ht="12" x14ac:dyDescent="0.3">
      <c r="B26" s="187" t="s">
        <v>90</v>
      </c>
    </row>
    <row r="27" spans="2:14" s="167" customFormat="1" ht="12" x14ac:dyDescent="0.3">
      <c r="B27" s="187"/>
    </row>
    <row r="28" spans="2:14" s="167" customFormat="1" ht="12" x14ac:dyDescent="0.3">
      <c r="B28" s="20" t="s">
        <v>91</v>
      </c>
    </row>
    <row r="29" spans="2:14" s="167" customFormat="1" ht="12" x14ac:dyDescent="0.3">
      <c r="B29" s="188" t="s">
        <v>92</v>
      </c>
      <c r="C29" s="189" cm="1">
        <f t="array" ref="C29:L29">_xlfn.SEQUENCE(,10, YoR)</f>
        <v>2025</v>
      </c>
      <c r="D29" s="189">
        <v>2026</v>
      </c>
      <c r="E29" s="189">
        <v>2027</v>
      </c>
      <c r="F29" s="189">
        <v>2028</v>
      </c>
      <c r="G29" s="189">
        <v>2029</v>
      </c>
      <c r="H29" s="189">
        <v>2030</v>
      </c>
      <c r="I29" s="189">
        <v>2031</v>
      </c>
      <c r="J29" s="189">
        <v>2032</v>
      </c>
      <c r="K29" s="189">
        <v>2033</v>
      </c>
      <c r="L29" s="189">
        <v>2034</v>
      </c>
      <c r="M29" s="190" t="s">
        <v>93</v>
      </c>
      <c r="N29" s="190" t="s">
        <v>94</v>
      </c>
    </row>
    <row r="30" spans="2:14" s="167" customFormat="1" x14ac:dyDescent="0.3">
      <c r="B30" s="191"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95</v>
      </c>
    </row>
    <row r="31" spans="2:14" s="167" customFormat="1" x14ac:dyDescent="0.3">
      <c r="B31" s="191"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167" customFormat="1" x14ac:dyDescent="0.3">
      <c r="B32" s="191" t="s">
        <v>96</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95</v>
      </c>
    </row>
    <row r="33" spans="2:14" s="167" customFormat="1" x14ac:dyDescent="0.3">
      <c r="B33" s="191" t="s">
        <v>97</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167" customFormat="1" x14ac:dyDescent="0.3">
      <c r="B34" s="176"/>
    </row>
    <row r="35" spans="2:14" s="167" customFormat="1" ht="12" x14ac:dyDescent="0.3">
      <c r="B35" s="20" t="s">
        <v>98</v>
      </c>
    </row>
    <row r="36" spans="2:14" s="167" customFormat="1" ht="12" x14ac:dyDescent="0.3">
      <c r="B36" s="188" t="s">
        <v>92</v>
      </c>
      <c r="C36" s="189" cm="1">
        <f t="array" ref="C36:L36">_xlfn.SEQUENCE(,10, YoR)</f>
        <v>2025</v>
      </c>
      <c r="D36" s="189">
        <v>2026</v>
      </c>
      <c r="E36" s="189">
        <v>2027</v>
      </c>
      <c r="F36" s="189">
        <v>2028</v>
      </c>
      <c r="G36" s="189">
        <v>2029</v>
      </c>
      <c r="H36" s="189">
        <v>2030</v>
      </c>
      <c r="I36" s="189">
        <v>2031</v>
      </c>
      <c r="J36" s="189">
        <v>2032</v>
      </c>
      <c r="K36" s="189">
        <v>2033</v>
      </c>
      <c r="L36" s="189">
        <v>2034</v>
      </c>
      <c r="M36" s="190" t="s">
        <v>93</v>
      </c>
      <c r="N36" s="190" t="s">
        <v>94</v>
      </c>
    </row>
    <row r="37" spans="2:14" s="167" customFormat="1" x14ac:dyDescent="0.3">
      <c r="B37" s="191"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95</v>
      </c>
    </row>
    <row r="38" spans="2:14" s="167" customFormat="1" x14ac:dyDescent="0.3">
      <c r="B38" s="191"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167" customFormat="1" x14ac:dyDescent="0.3">
      <c r="B39" s="191" t="s">
        <v>96</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95</v>
      </c>
    </row>
    <row r="40" spans="2:14" s="167" customFormat="1" x14ac:dyDescent="0.3">
      <c r="B40" s="191" t="s">
        <v>97</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167" customFormat="1" x14ac:dyDescent="0.3">
      <c r="B41" s="176"/>
    </row>
    <row r="42" spans="2:14" s="167" customFormat="1" ht="12" x14ac:dyDescent="0.3">
      <c r="B42" s="20" t="s">
        <v>99</v>
      </c>
    </row>
    <row r="43" spans="2:14" s="167" customFormat="1" ht="12" x14ac:dyDescent="0.3">
      <c r="B43" s="188" t="s">
        <v>92</v>
      </c>
      <c r="C43" s="189" cm="1">
        <f t="array" ref="C43:L43">_xlfn.SEQUENCE(,10, YoR)</f>
        <v>2025</v>
      </c>
      <c r="D43" s="189">
        <v>2026</v>
      </c>
      <c r="E43" s="189">
        <v>2027</v>
      </c>
      <c r="F43" s="189">
        <v>2028</v>
      </c>
      <c r="G43" s="189">
        <v>2029</v>
      </c>
      <c r="H43" s="189">
        <v>2030</v>
      </c>
      <c r="I43" s="189">
        <v>2031</v>
      </c>
      <c r="J43" s="189">
        <v>2032</v>
      </c>
      <c r="K43" s="189">
        <v>2033</v>
      </c>
      <c r="L43" s="189">
        <v>2034</v>
      </c>
      <c r="M43" s="190" t="s">
        <v>93</v>
      </c>
      <c r="N43" s="190" t="s">
        <v>94</v>
      </c>
    </row>
    <row r="44" spans="2:14" s="167" customFormat="1" x14ac:dyDescent="0.3">
      <c r="B44" s="191"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95</v>
      </c>
    </row>
    <row r="45" spans="2:14" s="167" customFormat="1" x14ac:dyDescent="0.3">
      <c r="B45" s="191"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167" customFormat="1" x14ac:dyDescent="0.3">
      <c r="B46" s="191" t="s">
        <v>96</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95</v>
      </c>
    </row>
    <row r="47" spans="2:14" s="167" customFormat="1" x14ac:dyDescent="0.3">
      <c r="B47" s="191" t="s">
        <v>97</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2"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00B050"/>
  </sheetPr>
  <dimension ref="B1:D100"/>
  <sheetViews>
    <sheetView showGridLines="0" zoomScaleNormal="100" workbookViewId="0">
      <selection activeCell="C10" sqref="C10"/>
    </sheetView>
  </sheetViews>
  <sheetFormatPr defaultColWidth="9.109375" defaultRowHeight="11.4" x14ac:dyDescent="0.3"/>
  <cols>
    <col min="1" max="1" width="4" style="127" customWidth="1"/>
    <col min="2" max="2" width="56" style="132" customWidth="1"/>
    <col min="3" max="3" width="24.88671875" style="127" customWidth="1"/>
    <col min="4" max="4" width="22.5546875" style="127" customWidth="1"/>
    <col min="5" max="6" width="19.44140625" style="127" customWidth="1"/>
    <col min="7" max="7" width="15.33203125" style="127" customWidth="1"/>
    <col min="8" max="14" width="19.44140625" style="127" customWidth="1"/>
    <col min="15" max="16384" width="9.109375" style="127"/>
  </cols>
  <sheetData>
    <row r="1" spans="2:4" ht="15" customHeight="1" x14ac:dyDescent="0.3"/>
    <row r="2" spans="2:4" ht="15" customHeight="1" x14ac:dyDescent="0.3">
      <c r="B2" s="157" t="s">
        <v>100</v>
      </c>
    </row>
    <row r="3" spans="2:4" ht="15" customHeight="1" x14ac:dyDescent="0.3">
      <c r="B3" s="145"/>
      <c r="C3" s="150"/>
      <c r="D3" s="150"/>
    </row>
    <row r="4" spans="2:4" ht="15" customHeight="1" x14ac:dyDescent="0.3">
      <c r="B4" s="158" t="s">
        <v>101</v>
      </c>
      <c r="C4" s="151" t="s">
        <v>102</v>
      </c>
      <c r="D4" s="152" t="s">
        <v>103</v>
      </c>
    </row>
    <row r="5" spans="2:4" ht="15" customHeight="1" x14ac:dyDescent="0.3">
      <c r="B5" s="142" t="s">
        <v>104</v>
      </c>
      <c r="C5" s="160">
        <f>SUM(tbl_Stakeholders[Small Business Count])</f>
        <v>0</v>
      </c>
      <c r="D5" s="288" t="s">
        <v>105</v>
      </c>
    </row>
    <row r="6" spans="2:4" ht="15" customHeight="1" x14ac:dyDescent="0.3">
      <c r="B6" s="142" t="s">
        <v>79</v>
      </c>
      <c r="C6" s="155" t="str">
        <f>Time&amp;" ("&amp;YoR&amp;" to "&amp;YoR+Time-1&amp;")"</f>
        <v>10 (2025 to 2034)</v>
      </c>
      <c r="D6" s="289"/>
    </row>
    <row r="7" spans="2:4" ht="15" customHeight="1" x14ac:dyDescent="0.3">
      <c r="B7" s="142" t="s">
        <v>80</v>
      </c>
      <c r="C7" s="156">
        <f>PriceYear</f>
        <v>2024</v>
      </c>
      <c r="D7" s="289"/>
    </row>
    <row r="8" spans="2:4" ht="15" customHeight="1" x14ac:dyDescent="0.3">
      <c r="B8" s="142" t="s">
        <v>82</v>
      </c>
      <c r="C8" s="155" t="str">
        <f>TEXT(Discount, "0%")</f>
        <v>7%</v>
      </c>
      <c r="D8" s="289"/>
    </row>
    <row r="9" spans="2:4" ht="15" customHeight="1" x14ac:dyDescent="0.3">
      <c r="B9" s="142" t="s">
        <v>81</v>
      </c>
      <c r="C9" s="156">
        <f>PVBaseYear</f>
        <v>2025</v>
      </c>
      <c r="D9" s="290"/>
    </row>
    <row r="10" spans="2:4" ht="15" customHeight="1" x14ac:dyDescent="0.3">
      <c r="B10" s="268" t="s">
        <v>106</v>
      </c>
      <c r="C10" s="269" t="s">
        <v>107</v>
      </c>
      <c r="D10" s="286" t="s">
        <v>108</v>
      </c>
    </row>
    <row r="11" spans="2:4" ht="15" customHeight="1" x14ac:dyDescent="0.3">
      <c r="B11" s="270" t="s">
        <v>109</v>
      </c>
      <c r="C11" s="271" t="s">
        <v>110</v>
      </c>
      <c r="D11" s="287"/>
    </row>
    <row r="12" spans="2:4" ht="15" customHeight="1" x14ac:dyDescent="0.3">
      <c r="B12" s="145"/>
      <c r="C12" s="145"/>
      <c r="D12" s="150"/>
    </row>
    <row r="13" spans="2:4" ht="15" customHeight="1" x14ac:dyDescent="0.3">
      <c r="B13" s="145"/>
      <c r="C13" s="145"/>
      <c r="D13" s="150"/>
    </row>
    <row r="14" spans="2:4" ht="15" customHeight="1" x14ac:dyDescent="0.3">
      <c r="B14" s="146"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59"/>
      <c r="D14" s="150"/>
    </row>
    <row r="15" spans="2:4" ht="15" customHeight="1" x14ac:dyDescent="0.3">
      <c r="B15" s="147" t="str" cm="1">
        <f t="array" ref="B15">IF(NoActivityErrors, "", IF(OneActivityError, "There is an error on the Activities sheet. ", "There are errors on the Activities sheet. "))&amp;IF(StakeholderUniqueError, "There is an error on the Stakeholders sheet.", "")</f>
        <v/>
      </c>
      <c r="C15" s="150"/>
      <c r="D15" s="150"/>
    </row>
    <row r="16" spans="2:4" ht="15" customHeight="1" x14ac:dyDescent="0.3"/>
    <row r="17" spans="2:2" ht="24" customHeight="1" x14ac:dyDescent="0.3">
      <c r="B17" s="132"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YoR),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3"/>
    <row r="19" spans="2:2" ht="24" customHeight="1" x14ac:dyDescent="0.3"/>
    <row r="20" spans="2:2" ht="24" customHeight="1" x14ac:dyDescent="0.3"/>
    <row r="21" spans="2:2" ht="24" customHeight="1" x14ac:dyDescent="0.3"/>
    <row r="22" spans="2:2" ht="24" customHeight="1" x14ac:dyDescent="0.3"/>
    <row r="23" spans="2:2" ht="24" customHeight="1" x14ac:dyDescent="0.3"/>
    <row r="24" spans="2:2" ht="24" customHeight="1" x14ac:dyDescent="0.3"/>
    <row r="25" spans="2:2" ht="24" customHeight="1" x14ac:dyDescent="0.3"/>
    <row r="26" spans="2:2" ht="24" customHeight="1" x14ac:dyDescent="0.3"/>
    <row r="27" spans="2:2" ht="24" customHeight="1" x14ac:dyDescent="0.3"/>
    <row r="28" spans="2:2" ht="24" customHeight="1" x14ac:dyDescent="0.3"/>
    <row r="30" spans="2:2" ht="24" customHeight="1" x14ac:dyDescent="0.3"/>
    <row r="31" spans="2:2" ht="24" customHeight="1" x14ac:dyDescent="0.3"/>
    <row r="32" spans="2:2" ht="24" customHeight="1" x14ac:dyDescent="0.3"/>
    <row r="33" ht="24" customHeight="1" x14ac:dyDescent="0.3"/>
    <row r="34" ht="24" customHeight="1" x14ac:dyDescent="0.3"/>
    <row r="35" ht="24" customHeight="1" x14ac:dyDescent="0.3"/>
    <row r="36" ht="24" customHeight="1" x14ac:dyDescent="0.3"/>
    <row r="37" ht="24" customHeight="1" x14ac:dyDescent="0.3"/>
    <row r="38" ht="24" customHeight="1" x14ac:dyDescent="0.3"/>
    <row r="39" ht="24" customHeight="1" x14ac:dyDescent="0.3"/>
    <row r="40" ht="24" customHeight="1" x14ac:dyDescent="0.3"/>
    <row r="41" ht="24" customHeight="1" x14ac:dyDescent="0.3"/>
    <row r="42" ht="24" customHeight="1" x14ac:dyDescent="0.3"/>
    <row r="43" ht="24" customHeight="1" x14ac:dyDescent="0.3"/>
    <row r="44" ht="24" customHeight="1" x14ac:dyDescent="0.3"/>
    <row r="45" ht="24" customHeight="1" x14ac:dyDescent="0.3"/>
    <row r="46" ht="24" customHeight="1" x14ac:dyDescent="0.3"/>
    <row r="47" ht="24" customHeight="1" x14ac:dyDescent="0.3"/>
    <row r="48" ht="24" customHeight="1" x14ac:dyDescent="0.3"/>
    <row r="49" ht="24" customHeight="1" x14ac:dyDescent="0.3"/>
    <row r="50" ht="24" customHeight="1" x14ac:dyDescent="0.3"/>
    <row r="51" ht="24" customHeight="1" x14ac:dyDescent="0.3"/>
    <row r="52" ht="24" customHeight="1" x14ac:dyDescent="0.3"/>
    <row r="53" ht="24" customHeight="1" x14ac:dyDescent="0.3"/>
    <row r="54" ht="24" customHeight="1" x14ac:dyDescent="0.3"/>
    <row r="55" ht="24" customHeight="1" x14ac:dyDescent="0.3"/>
    <row r="56" ht="24" customHeight="1" x14ac:dyDescent="0.3"/>
    <row r="57" ht="24" customHeight="1" x14ac:dyDescent="0.3"/>
    <row r="58" ht="24" customHeight="1" x14ac:dyDescent="0.3"/>
    <row r="59" ht="24" customHeight="1" x14ac:dyDescent="0.3"/>
    <row r="60" ht="24" customHeight="1" x14ac:dyDescent="0.3"/>
    <row r="61" ht="24" customHeight="1" x14ac:dyDescent="0.3"/>
    <row r="62" ht="24" customHeight="1" x14ac:dyDescent="0.3"/>
    <row r="63" ht="24" customHeight="1" x14ac:dyDescent="0.3"/>
    <row r="64" ht="24" customHeight="1" x14ac:dyDescent="0.3"/>
    <row r="65" ht="24" customHeight="1" x14ac:dyDescent="0.3"/>
    <row r="66" ht="24" customHeight="1" x14ac:dyDescent="0.3"/>
    <row r="67" ht="24" customHeight="1" x14ac:dyDescent="0.3"/>
    <row r="68" ht="24" customHeight="1" x14ac:dyDescent="0.3"/>
    <row r="69" ht="24" customHeight="1" x14ac:dyDescent="0.3"/>
    <row r="70" ht="24" customHeight="1" x14ac:dyDescent="0.3"/>
    <row r="71" ht="24" customHeight="1" x14ac:dyDescent="0.3"/>
    <row r="72" ht="24" customHeight="1" x14ac:dyDescent="0.3"/>
    <row r="73" ht="24" customHeight="1" x14ac:dyDescent="0.3"/>
    <row r="74" ht="24" customHeight="1" x14ac:dyDescent="0.3"/>
    <row r="75" ht="24" customHeight="1" x14ac:dyDescent="0.3"/>
    <row r="76" ht="24" customHeight="1" x14ac:dyDescent="0.3"/>
    <row r="77" ht="24" customHeight="1" x14ac:dyDescent="0.3"/>
    <row r="78" ht="24" customHeight="1" x14ac:dyDescent="0.3"/>
    <row r="79" ht="24" customHeight="1" x14ac:dyDescent="0.3"/>
    <row r="80" ht="24" customHeight="1" x14ac:dyDescent="0.3"/>
    <row r="81" ht="24" customHeight="1" x14ac:dyDescent="0.3"/>
    <row r="82" ht="24" customHeight="1" x14ac:dyDescent="0.3"/>
    <row r="83" ht="24" customHeight="1" x14ac:dyDescent="0.3"/>
    <row r="84" ht="24" customHeight="1" x14ac:dyDescent="0.3"/>
    <row r="85" ht="24" customHeight="1" x14ac:dyDescent="0.3"/>
    <row r="86" ht="24" customHeight="1" x14ac:dyDescent="0.3"/>
    <row r="87" ht="24" customHeight="1" x14ac:dyDescent="0.3"/>
    <row r="88" ht="24" customHeight="1" x14ac:dyDescent="0.3"/>
    <row r="89" ht="24" customHeight="1" x14ac:dyDescent="0.3"/>
    <row r="90" ht="24" customHeight="1" x14ac:dyDescent="0.3"/>
    <row r="91" ht="24" customHeight="1" x14ac:dyDescent="0.3"/>
    <row r="92" ht="24" customHeight="1" x14ac:dyDescent="0.3"/>
    <row r="93" ht="24" customHeight="1" x14ac:dyDescent="0.3"/>
    <row r="94" ht="24" customHeight="1" x14ac:dyDescent="0.3"/>
    <row r="95" ht="24" customHeight="1" x14ac:dyDescent="0.3"/>
    <row r="96" ht="24" customHeight="1" x14ac:dyDescent="0.3"/>
    <row r="97" ht="24" customHeight="1" x14ac:dyDescent="0.3"/>
    <row r="98" ht="24" customHeight="1" x14ac:dyDescent="0.3"/>
    <row r="99" ht="24" customHeight="1" x14ac:dyDescent="0.3"/>
    <row r="100" ht="24" customHeight="1" x14ac:dyDescent="0.3"/>
  </sheetData>
  <mergeCells count="2">
    <mergeCell ref="D10:D11"/>
    <mergeCell ref="D5:D9"/>
  </mergeCells>
  <conditionalFormatting sqref="B15">
    <cfRule type="notContainsBlanks" dxfId="41" priority="1">
      <formula>LEN(TRIM(B15))&gt;0</formula>
    </cfRule>
  </conditionalFormatting>
  <conditionalFormatting sqref="B16:E402">
    <cfRule type="expression" dxfId="40" priority="2">
      <formula>$B15="Administrative or Compliance"</formula>
    </cfRule>
    <cfRule type="expression" dxfId="39" priority="4">
      <formula>$B16="Total"</formula>
    </cfRule>
    <cfRule type="expression" dxfId="38" priority="5">
      <formula>$B16="Amount"</formula>
    </cfRule>
    <cfRule type="expression" dxfId="37" priority="6">
      <formula>$B16="Administrative or Compliance"</formula>
    </cfRule>
    <cfRule type="expression" dxfId="36" priority="11">
      <formula>OR($B16="Net Impacts", $B16="Net Impacts ($ millions)", $B16="Net Impacts ($ billions)")</formula>
    </cfRule>
    <cfRule type="expression" dxfId="35" priority="12">
      <formula>OR($B16="Costs", $B16="Costs ($ millions)", $B16="Costs ($ billions)")</formula>
    </cfRule>
    <cfRule type="expression" dxfId="34" priority="13">
      <formula>OR($B16="Benefits", $B16="Benefits ($ millions)", $B16="Benefits ($ billions)")</formula>
    </cfRule>
  </conditionalFormatting>
  <conditionalFormatting sqref="B16:CY402">
    <cfRule type="expression" dxfId="33" priority="3">
      <formula>$B16="Impact"</formula>
    </cfRule>
    <cfRule type="expression" dxfId="32" priority="8">
      <formula>OR($B16="NET", $B16="Net ($ millions)", $B16="Net ($ billions)")</formula>
    </cfRule>
    <cfRule type="notContainsBlanks" dxfId="31"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codeName="Sheet8">
    <tabColor rgb="FFEAE400"/>
    <pageSetUpPr autoPageBreaks="0"/>
  </sheetPr>
  <dimension ref="B1:D19"/>
  <sheetViews>
    <sheetView showGridLines="0" zoomScale="90" zoomScaleNormal="90" workbookViewId="0">
      <selection activeCell="C10" sqref="C10"/>
    </sheetView>
  </sheetViews>
  <sheetFormatPr defaultColWidth="23" defaultRowHeight="11.4" x14ac:dyDescent="0.3"/>
  <cols>
    <col min="1" max="1" width="6.33203125" style="127" customWidth="1"/>
    <col min="2" max="2" width="44.44140625" style="128" customWidth="1"/>
    <col min="3" max="3" width="22.6640625" style="127" customWidth="1"/>
    <col min="4" max="12" width="21.109375" style="127" customWidth="1"/>
    <col min="13" max="16384" width="23" style="127"/>
  </cols>
  <sheetData>
    <row r="1" spans="2:4" ht="15" customHeight="1" x14ac:dyDescent="0.3"/>
    <row r="2" spans="2:4" ht="15" customHeight="1" x14ac:dyDescent="0.3">
      <c r="B2" s="129" t="s">
        <v>111</v>
      </c>
      <c r="C2" s="150"/>
      <c r="D2" s="150"/>
    </row>
    <row r="3" spans="2:4" ht="15" customHeight="1" x14ac:dyDescent="0.3">
      <c r="B3" s="130"/>
      <c r="C3" s="150"/>
      <c r="D3" s="150"/>
    </row>
    <row r="4" spans="2:4" ht="15" customHeight="1" x14ac:dyDescent="0.3">
      <c r="B4" s="130"/>
      <c r="C4" s="150"/>
      <c r="D4" s="150"/>
    </row>
    <row r="5" spans="2:4" ht="15" customHeight="1" x14ac:dyDescent="0.3">
      <c r="B5" s="214" t="s">
        <v>101</v>
      </c>
      <c r="C5" s="213" t="s">
        <v>102</v>
      </c>
      <c r="D5" s="211" t="s">
        <v>103</v>
      </c>
    </row>
    <row r="6" spans="2:4" ht="15" customHeight="1" x14ac:dyDescent="0.3">
      <c r="B6" s="153" t="s">
        <v>79</v>
      </c>
      <c r="C6" s="215" t="str">
        <f>Time&amp;" ("&amp;YoR&amp;" to "&amp;YoR+Time-1&amp;")"</f>
        <v>10 (2025 to 2034)</v>
      </c>
      <c r="D6" s="288" t="s">
        <v>105</v>
      </c>
    </row>
    <row r="7" spans="2:4" ht="15" customHeight="1" x14ac:dyDescent="0.3">
      <c r="B7" s="156" t="s">
        <v>80</v>
      </c>
      <c r="C7" s="156">
        <f>PriceYear</f>
        <v>2024</v>
      </c>
      <c r="D7" s="289"/>
    </row>
    <row r="8" spans="2:4" ht="15" customHeight="1" x14ac:dyDescent="0.3">
      <c r="B8" s="156" t="s">
        <v>81</v>
      </c>
      <c r="C8" s="156">
        <f>PVBaseYear</f>
        <v>2025</v>
      </c>
      <c r="D8" s="289"/>
    </row>
    <row r="9" spans="2:4" ht="15" customHeight="1" x14ac:dyDescent="0.3">
      <c r="B9" s="154" t="s">
        <v>82</v>
      </c>
      <c r="C9" s="212">
        <f>Discount</f>
        <v>7.0000000000000007E-2</v>
      </c>
      <c r="D9" s="290"/>
    </row>
    <row r="10" spans="2:4" ht="15" customHeight="1" x14ac:dyDescent="0.3">
      <c r="B10" s="272" t="s">
        <v>112</v>
      </c>
      <c r="C10" s="273" t="s">
        <v>314</v>
      </c>
      <c r="D10" s="291" t="s">
        <v>108</v>
      </c>
    </row>
    <row r="11" spans="2:4" ht="15" customHeight="1" x14ac:dyDescent="0.3">
      <c r="B11" s="272" t="s">
        <v>109</v>
      </c>
      <c r="C11" s="274" t="s">
        <v>110</v>
      </c>
      <c r="D11" s="291"/>
    </row>
    <row r="12" spans="2:4" ht="15" customHeight="1" x14ac:dyDescent="0.3">
      <c r="B12" s="272" t="s">
        <v>113</v>
      </c>
      <c r="C12" s="274" t="s">
        <v>114</v>
      </c>
      <c r="D12" s="291"/>
    </row>
    <row r="13" spans="2:4" ht="15" customHeight="1" x14ac:dyDescent="0.3">
      <c r="B13" s="272" t="s">
        <v>106</v>
      </c>
      <c r="C13" s="274" t="s">
        <v>107</v>
      </c>
      <c r="D13" s="291"/>
    </row>
    <row r="14" spans="2:4" ht="15" customHeight="1" x14ac:dyDescent="0.3">
      <c r="B14" s="275" t="s">
        <v>115</v>
      </c>
      <c r="C14" s="276" t="s">
        <v>116</v>
      </c>
      <c r="D14" s="287"/>
    </row>
    <row r="15" spans="2:4" ht="15" customHeight="1" x14ac:dyDescent="0.3">
      <c r="B15" s="81"/>
      <c r="C15" s="150"/>
      <c r="D15" s="150"/>
    </row>
    <row r="16" spans="2:4" ht="15" customHeight="1" x14ac:dyDescent="0.3">
      <c r="B16" s="131" t="s">
        <v>117</v>
      </c>
      <c r="C16" s="150"/>
      <c r="D16" s="150"/>
    </row>
    <row r="17" spans="2:2" ht="15" customHeight="1" x14ac:dyDescent="0.3">
      <c r="B17" s="81" t="str" cm="1">
        <f t="array" ref="B17">IF(NoActivityErrors, "", IF(OneActivityError, "There is an error on the Activities sheet. ", "There are errors on the Activities sheet. "))&amp;IF(StakeholderUniqueError, "There is an error on the Stakeholders sheet.", "")</f>
        <v/>
      </c>
    </row>
    <row r="19" spans="2:2" x14ac:dyDescent="0.3">
      <c r="B19" s="128"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-SUMIFS(L_DIAS, L_A, IF(bs, "&lt;&gt;""", IF(ba, INDEX(L_UC, _xlpm.r), INDEX(AS_C, _xlpm.r, 2))), L_AG, IF(ba, "&lt;&gt;""", IF(bs, INDEX(Groups, _xlpm.r), INDEX(AS_C, _xlpm.r, 1))),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-SUMIFS(L_UIAS, L_A, IF(bs, "&lt;&gt;""", IF(ba, INDEX(L_UC, _xlpm.r), INDEX(AS_C, _xlpm.r, 2))), L_AG, IF(ba, "&lt;&gt;""", IF(bs, INDEX(Groups, _xlpm.r), INDEX(AS_C, _xlpm.r, 1))),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SUMIFS(L_DIAS, L_A, IF(bs, "&lt;&gt;""", IF(ba, INDEX(L_UB, _xlpm.r), INDEX(AS_B, _xlpm.r, 2))), L_AG, IF(ba, "&lt;&gt;""", IF(bs, INDEX(Groups, _xlpm.r), INDEX(AS_B, _xlpm.r, 1))),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SUMIFS(L_UIAS, L_A, IF(bs, "&lt;&gt;""", IF(ba, INDEX(L_UB, _xlpm.r), INDEX(AS_B, _xlpm.r, 2))), L_AG, IF(ba, "&lt;&gt;""", IF(bs, INDEX(Groups, _xlpm.r), INDEX(AS_B, _xlpm.r, 1))),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SUMIFS(L_DIAS, L_A, IF(bs, "&lt;&gt;""", IF(ba, INDEX(L_UA, _xlpm.r), INDEX(AS_N, _xlpm.r, 2))), L_AG, IF(ba, "&lt;&gt;""", IF(bs, INDEX(Groups, _xlpm.r), INDEX(AS_N, _xlpm.r, 1))),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SUMIFS(L_UIAS, L_A, IF(bs, "&lt;&gt;""", IF(ba, INDEX(L_UA, _xlpm.r), INDEX(AS_N, _xlpm.r, 2))), L_AG, IF(ba, "&lt;&gt;""", IF(bs, INDEX(Groups, _xlpm.r), INDEX(AS_N, _xlpm.r, 1))),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0" priority="18">
      <formula>LEN(TRIM(B17))&gt;0</formula>
    </cfRule>
  </conditionalFormatting>
  <conditionalFormatting sqref="B19:CZ502">
    <cfRule type="expression" dxfId="29" priority="5">
      <formula>AND(LEFT($B19, 12)="Undiscounted", $C19="")</formula>
    </cfRule>
    <cfRule type="expression" dxfId="28" priority="6">
      <formula>AND(LEFT($B19, 10)="Discounted", $C19="")</formula>
    </cfRule>
    <cfRule type="expression" dxfId="27" priority="7">
      <formula>AND(LEFT($B19, 3)="Net", $C19="")</formula>
    </cfRule>
    <cfRule type="expression" dxfId="26" priority="8">
      <formula>AND(LEFT($B19, 8)="Benefits", $C19="")</formula>
    </cfRule>
    <cfRule type="expression" dxfId="25" priority="9">
      <formula>AND(LEFT($B19, 5)="Costs", $C19="")</formula>
    </cfRule>
    <cfRule type="expression" dxfId="24" priority="10">
      <formula>$B19="Year"</formula>
    </cfRule>
    <cfRule type="expression" dxfId="23" priority="11">
      <formula>$B19="Impact"</formula>
    </cfRule>
    <cfRule type="containsText" dxfId="22" priority="12" operator="containsText" text="Net, Undiscounted">
      <formula>NOT(ISERROR(SEARCH("Net, Undiscounted",B19)))</formula>
    </cfRule>
    <cfRule type="containsText" dxfId="21" priority="13" operator="containsText" text="Net, Discounted">
      <formula>NOT(ISERROR(SEARCH("Net, Discounted",B19)))</formula>
    </cfRule>
    <cfRule type="containsText" dxfId="20" priority="14" operator="containsText" text="Out, Undiscounted">
      <formula>NOT(ISERROR(SEARCH("Out, Undiscounted",B19)))</formula>
    </cfRule>
    <cfRule type="containsText" dxfId="19" priority="15" operator="containsText" text="Out, Discounted">
      <formula>NOT(ISERROR(SEARCH("Out, Discounted",B19)))</formula>
    </cfRule>
    <cfRule type="containsText" dxfId="18" priority="16" operator="containsText" text="In, Discounted">
      <formula>NOT(ISERROR(SEARCH("In, Discounted",B19)))</formula>
    </cfRule>
    <cfRule type="expression" dxfId="17" priority="17">
      <formula>$B19="Activity"</formula>
    </cfRule>
    <cfRule type="containsText" dxfId="16" priority="19" operator="containsText" text="In, Undiscounted">
      <formula>NOT(ISERROR(SEARCH("In, Undiscounted",B19)))</formula>
    </cfRule>
    <cfRule type="notContainsBlanks" dxfId="15" priority="20">
      <formula>LEN(TRIM(B19))&gt;0</formula>
    </cfRule>
    <cfRule type="expression" dxfId="14" priority="21">
      <formula>$B19="Stakeholder Group"</formula>
    </cfRule>
    <cfRule type="expression" dxfId="13" priority="22">
      <formula>$B19="Total"</formula>
    </cfRule>
    <cfRule type="expression" dxfId="12" priority="24">
      <formula>$B19="Annualized"</formula>
    </cfRule>
  </conditionalFormatting>
  <conditionalFormatting sqref="C11">
    <cfRule type="expression" dxfId="11" priority="1">
      <formula>COUNTIFS($C$11, "Stakeholder Group*", $C$10, "By Activity")</formula>
    </cfRule>
    <cfRule type="expression" dxfId="10"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EAE400"/>
  </sheetPr>
  <dimension ref="B1:U19"/>
  <sheetViews>
    <sheetView showGridLines="0" zoomScale="90" zoomScaleNormal="90" workbookViewId="0">
      <selection activeCell="C10" sqref="C10"/>
    </sheetView>
  </sheetViews>
  <sheetFormatPr defaultColWidth="9.109375" defaultRowHeight="11.4" x14ac:dyDescent="0.3"/>
  <cols>
    <col min="1" max="1" width="6.33203125" style="133" customWidth="1"/>
    <col min="2" max="2" width="44.44140625" style="132" customWidth="1"/>
    <col min="3" max="9" width="21.109375" style="133" customWidth="1"/>
    <col min="10" max="10" width="20" style="133" customWidth="1"/>
    <col min="11" max="15" width="14.109375" style="133" customWidth="1"/>
    <col min="16" max="20" width="9.109375" style="133"/>
    <col min="21" max="21" width="13.88671875" style="133" bestFit="1" customWidth="1"/>
    <col min="22" max="16384" width="9.109375" style="133"/>
  </cols>
  <sheetData>
    <row r="1" spans="2:21" ht="15" customHeight="1" x14ac:dyDescent="0.3"/>
    <row r="2" spans="2:21" ht="15" customHeight="1" x14ac:dyDescent="0.3">
      <c r="B2" s="134" t="s">
        <v>118</v>
      </c>
      <c r="C2" s="135"/>
      <c r="D2" s="135"/>
    </row>
    <row r="3" spans="2:21" ht="15" customHeight="1" x14ac:dyDescent="0.3">
      <c r="B3" s="136"/>
      <c r="C3" s="135"/>
      <c r="D3" s="135"/>
    </row>
    <row r="4" spans="2:21" ht="15" customHeight="1" x14ac:dyDescent="0.3">
      <c r="B4" s="136"/>
      <c r="C4" s="135"/>
      <c r="D4" s="135"/>
    </row>
    <row r="5" spans="2:21" ht="15" customHeight="1" x14ac:dyDescent="0.3">
      <c r="B5" s="137" t="s">
        <v>101</v>
      </c>
      <c r="C5" s="138" t="s">
        <v>102</v>
      </c>
      <c r="D5" s="139" t="s">
        <v>103</v>
      </c>
    </row>
    <row r="6" spans="2:21" ht="15" customHeight="1" x14ac:dyDescent="0.3">
      <c r="B6" s="140" t="s">
        <v>79</v>
      </c>
      <c r="C6" s="141" t="str">
        <f>Time&amp;" ("&amp;YoR&amp;" to "&amp;YoR+Time-1&amp;")"</f>
        <v>10 (2025 to 2034)</v>
      </c>
      <c r="D6" s="295" t="s">
        <v>105</v>
      </c>
    </row>
    <row r="7" spans="2:21" ht="15" customHeight="1" x14ac:dyDescent="0.3">
      <c r="B7" s="142" t="s">
        <v>80</v>
      </c>
      <c r="C7" s="148">
        <f>PriceYear</f>
        <v>2024</v>
      </c>
      <c r="D7" s="296"/>
    </row>
    <row r="8" spans="2:21" ht="15" customHeight="1" x14ac:dyDescent="0.3">
      <c r="B8" s="142" t="s">
        <v>81</v>
      </c>
      <c r="C8" s="148">
        <f>PVBaseYear</f>
        <v>2025</v>
      </c>
      <c r="D8" s="296"/>
    </row>
    <row r="9" spans="2:21" ht="15" customHeight="1" x14ac:dyDescent="0.3">
      <c r="B9" s="143" t="s">
        <v>82</v>
      </c>
      <c r="C9" s="149">
        <f>Discount</f>
        <v>7.0000000000000007E-2</v>
      </c>
      <c r="D9" s="297"/>
    </row>
    <row r="10" spans="2:21" ht="15" customHeight="1" x14ac:dyDescent="0.3">
      <c r="B10" s="277" t="s">
        <v>106</v>
      </c>
      <c r="C10" s="278" t="s">
        <v>107</v>
      </c>
      <c r="D10" s="298" t="s">
        <v>108</v>
      </c>
    </row>
    <row r="11" spans="2:21" ht="15" customHeight="1" x14ac:dyDescent="0.3">
      <c r="B11" s="277" t="s">
        <v>109</v>
      </c>
      <c r="C11" s="278" t="s">
        <v>110</v>
      </c>
      <c r="D11" s="299"/>
      <c r="U11" s="144"/>
    </row>
    <row r="12" spans="2:21" ht="15" customHeight="1" x14ac:dyDescent="0.3">
      <c r="B12" s="258" t="s">
        <v>119</v>
      </c>
      <c r="C12" s="259"/>
      <c r="D12" s="292" t="s">
        <v>120</v>
      </c>
    </row>
    <row r="13" spans="2:21" ht="15" customHeight="1" x14ac:dyDescent="0.3">
      <c r="B13" s="260" t="s">
        <v>121</v>
      </c>
      <c r="C13" s="261"/>
      <c r="D13" s="293"/>
    </row>
    <row r="14" spans="2:21" ht="15" customHeight="1" x14ac:dyDescent="0.3">
      <c r="B14" s="262" t="s">
        <v>122</v>
      </c>
      <c r="C14" s="263"/>
      <c r="D14" s="294"/>
      <c r="G14" s="133" t="s">
        <v>123</v>
      </c>
    </row>
    <row r="15" spans="2:21" ht="15" customHeight="1" x14ac:dyDescent="0.3">
      <c r="B15" s="145"/>
      <c r="C15" s="135"/>
      <c r="D15" s="135"/>
    </row>
    <row r="16" spans="2:21" ht="15" customHeight="1" x14ac:dyDescent="0.3">
      <c r="B16" s="146" t="s">
        <v>117</v>
      </c>
      <c r="C16" s="135"/>
      <c r="D16" s="135"/>
    </row>
    <row r="17" spans="2:2" ht="15" customHeight="1" x14ac:dyDescent="0.3">
      <c r="B17" s="147" t="str" cm="1">
        <f t="array" ref="B17">IF(NoActivityErrors, "", IF(OneActivityError, "There is an error on the Activities sheet. ", "There are errors on the Activities sheet. "))&amp;IF(StakeholderUniqueError, "There is an error on the Stakeholders sheet.", "")</f>
        <v/>
      </c>
    </row>
    <row r="19" spans="2:2" x14ac:dyDescent="0.3">
      <c r="B19" s="132" t="str" cm="1">
        <f t="array" ref="B19">_xlfn.LET(
_xlpm.m, 1/10^IF($C$10="Millions", 6, IF($C$10="Billions", 9)),
_xlpm.M_txt, IF($C$10="Millions", " ($ millions)", IF($C$10="Billions", " ($ billions)", "")),
_xlpm.hd, _xlfn.HSTACK("Stakeholder Group", "Activity", _xlfn.HSTACK(_xlfn.SEQUENCE(, Time, YoR),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$C$12:$C$14&lt;&gt;"")))-YoR+3), Time+2), 1),
_xlpm.netcols, _xlfn.UNIQUE(_xlfn.HSTACK(1, 2, IF(_xlpm.v=3, Time+1, TRANSPOSE(_xlfn._xlws.SORT(_xlfn._xlws.FILTER($C$12:$C$14, $C$12:$C$14&lt;&gt;"")))-YoR+2), Time+1), 1),
_xlpm.IN_D,
     _xlfn.LET(_xlpm.x, _xlfn.MAKEARRAY(ROWS(AS_C), Time, _xlfn.LAMBDA(_xlpm.r,_xlpm.c,
     -SUMIFS(L_DIAS, L_IO, "Cost", L_A, INDEX(AS_C, _xlpm.r, 2), L_AG, INDEX(AS_C, _xlpm.r, 1),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-SUMIFS(L_UIAS, L_IO, "Cost", L_A, INDEX(AS_C, _xlpm.r, 2), L_AG, INDEX(AS_C, _xlpm.r, 1),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SUMIFS(L_DIAS, L_IO, "Benefit", L_A, INDEX(AS_B, _xlpm.r, 2), L_AG, INDEX(AS_B, _xlpm.r, 1),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SUMIFS(L_UIAS, L_IO, "Benefit", L_A, INDEX(AS_B, _xlpm.r, 2), L_AG, INDEX(AS_B, _xlpm.r, 1),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YoR),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9" priority="1">
      <formula>LEN(TRIM(B17))&gt;0</formula>
    </cfRule>
  </conditionalFormatting>
  <conditionalFormatting sqref="B19:CZ502">
    <cfRule type="containsText" dxfId="8" priority="3" operator="containsText" text="Monetized">
      <formula>NOT(ISERROR(SEARCH("Monetized",B19)))</formula>
    </cfRule>
    <cfRule type="notContainsBlanks" dxfId="7" priority="4">
      <formula>LEN(TRIM(B19))&gt;0</formula>
    </cfRule>
    <cfRule type="expression" dxfId="6" priority="7">
      <formula>$B19="Impacted Stakeholder"</formula>
    </cfRule>
    <cfRule type="expression" dxfId="5" priority="8">
      <formula>$B19="All Stakeholders"</formula>
    </cfRule>
    <cfRule type="expression" dxfId="4" priority="9">
      <formula>$B19="Net impact"</formula>
    </cfRule>
    <cfRule type="expression" dxfId="3"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6BB00"/>
  </sheetPr>
  <dimension ref="B2:I88"/>
  <sheetViews>
    <sheetView showGridLines="0" zoomScaleNormal="100" workbookViewId="0">
      <pane ySplit="14" topLeftCell="A55" activePane="bottomLeft" state="frozen"/>
      <selection pane="bottomLeft" activeCell="D66" sqref="D66"/>
    </sheetView>
  </sheetViews>
  <sheetFormatPr defaultColWidth="9.109375" defaultRowHeight="11.4" x14ac:dyDescent="0.2"/>
  <cols>
    <col min="1" max="1" width="2" style="11" customWidth="1"/>
    <col min="2" max="2" width="11.109375" style="67" customWidth="1"/>
    <col min="3" max="3" width="9.44140625" style="11" customWidth="1"/>
    <col min="4" max="4" width="82.88671875" style="11" customWidth="1"/>
    <col min="5" max="5" width="16.5546875" style="11" customWidth="1"/>
    <col min="6" max="6" width="29.88671875" style="49" customWidth="1"/>
    <col min="7" max="7" width="27.109375" style="49" customWidth="1"/>
    <col min="8" max="8" width="9.109375" style="11"/>
    <col min="9" max="9" width="13.109375" style="11" bestFit="1" customWidth="1"/>
    <col min="10" max="16384" width="9.109375" style="11"/>
  </cols>
  <sheetData>
    <row r="2" spans="2:7" ht="15.6" x14ac:dyDescent="0.3">
      <c r="B2" s="66"/>
      <c r="C2" s="222" t="s">
        <v>124</v>
      </c>
    </row>
    <row r="3" spans="2:7" ht="12" x14ac:dyDescent="0.25">
      <c r="B3" s="66"/>
      <c r="C3" s="32"/>
    </row>
    <row r="4" spans="2:7" x14ac:dyDescent="0.2">
      <c r="C4" s="33"/>
      <c r="D4" s="34"/>
    </row>
    <row r="5" spans="2:7" x14ac:dyDescent="0.2">
      <c r="D5" s="34"/>
    </row>
    <row r="6" spans="2:7" x14ac:dyDescent="0.2">
      <c r="C6" s="34"/>
      <c r="D6" s="34"/>
    </row>
    <row r="7" spans="2:7" x14ac:dyDescent="0.2">
      <c r="C7" s="34"/>
      <c r="D7" s="34"/>
    </row>
    <row r="8" spans="2:7" x14ac:dyDescent="0.2">
      <c r="C8" s="34"/>
      <c r="D8" s="34"/>
    </row>
    <row r="9" spans="2:7" x14ac:dyDescent="0.2">
      <c r="C9" s="33"/>
    </row>
    <row r="10" spans="2:7" x14ac:dyDescent="0.2">
      <c r="C10" s="33"/>
    </row>
    <row r="11" spans="2:7" x14ac:dyDescent="0.2">
      <c r="C11" s="33"/>
    </row>
    <row r="12" spans="2:7" x14ac:dyDescent="0.2">
      <c r="C12" s="33"/>
    </row>
    <row r="13" spans="2:7" x14ac:dyDescent="0.2">
      <c r="C13" s="34"/>
    </row>
    <row r="14" spans="2:7" s="167" customFormat="1" ht="30" customHeight="1" x14ac:dyDescent="0.3">
      <c r="B14" s="128"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70" t="s">
        <v>125</v>
      </c>
      <c r="D14" s="30" t="s">
        <v>126</v>
      </c>
      <c r="E14" s="31" t="s">
        <v>127</v>
      </c>
      <c r="F14" s="31" t="s">
        <v>128</v>
      </c>
      <c r="G14" s="46" t="s">
        <v>129</v>
      </c>
    </row>
    <row r="15" spans="2:7" s="167" customFormat="1" ht="17.25" customHeight="1" x14ac:dyDescent="0.3">
      <c r="B15" s="128" t="str">
        <v/>
      </c>
      <c r="C15" s="168" t="str">
        <f>TEXT(ROW(C15)-ROW(tbl_Wages[[#Headers],[Number]]), "00")</f>
        <v>01</v>
      </c>
      <c r="D15" s="71" t="s">
        <v>130</v>
      </c>
      <c r="E15" s="169">
        <v>2021</v>
      </c>
      <c r="F15" s="170">
        <v>30.03</v>
      </c>
      <c r="G15" s="170">
        <f>IFERROR(tbl_Wages[[#This Row],[Wage in price year of data source (without overhead)]]*INDEX(tbl_CPI[Index], MATCH(PriceYear, tbl_CPI[Year], 0))/INDEX(tbl_CPI[Index], MATCH(tbl_Wages[[#This Row],[Price year of data source]], tbl_CPI[Year], 0)), "")</f>
        <v>34.12307203389831</v>
      </c>
    </row>
    <row r="16" spans="2:7" s="167" customFormat="1" ht="17.25" customHeight="1" x14ac:dyDescent="0.3">
      <c r="B16" s="128" t="str">
        <v/>
      </c>
      <c r="C16" s="168" t="str">
        <f>TEXT(ROW(C16)-ROW(tbl_Wages[[#Headers],[Number]]), "00")</f>
        <v>02</v>
      </c>
      <c r="D16" s="71" t="s">
        <v>131</v>
      </c>
      <c r="E16" s="169">
        <v>2021</v>
      </c>
      <c r="F16" s="170">
        <v>49</v>
      </c>
      <c r="G16" s="170">
        <f>IFERROR(tbl_Wages[[#This Row],[Wage in price year of data source (without overhead)]]*INDEX(tbl_CPI[Index], MATCH(PriceYear, tbl_CPI[Year], 0))/INDEX(tbl_CPI[Index], MATCH(tbl_Wages[[#This Row],[Price year of data source]], tbl_CPI[Year], 0)), "")</f>
        <v>55.678672316384187</v>
      </c>
    </row>
    <row r="17" spans="2:7" s="167" customFormat="1" ht="17.25" customHeight="1" x14ac:dyDescent="0.3">
      <c r="B17" s="128" t="str">
        <v/>
      </c>
      <c r="C17" s="168" t="str">
        <f>TEXT(ROW(C17)-ROW(tbl_Wages[[#Headers],[Number]]), "00")</f>
        <v>03</v>
      </c>
      <c r="D17" s="71" t="s">
        <v>132</v>
      </c>
      <c r="E17" s="169">
        <v>2021</v>
      </c>
      <c r="F17" s="170">
        <v>57.52</v>
      </c>
      <c r="G17" s="170">
        <f>IFERROR(tbl_Wages[[#This Row],[Wage in price year of data source (without overhead)]]*INDEX(tbl_CPI[Index], MATCH(PriceYear, tbl_CPI[Year], 0))/INDEX(tbl_CPI[Index], MATCH(tbl_Wages[[#This Row],[Price year of data source]], tbl_CPI[Year], 0)), "")</f>
        <v>65.359943502824862</v>
      </c>
    </row>
    <row r="18" spans="2:7" s="167" customFormat="1" ht="17.25" customHeight="1" x14ac:dyDescent="0.3">
      <c r="B18" s="128" t="str">
        <v/>
      </c>
      <c r="C18" s="168" t="str">
        <f>TEXT(ROW(C18)-ROW(tbl_Wages[[#Headers],[Number]]), "00")</f>
        <v>04</v>
      </c>
      <c r="D18" s="71" t="s">
        <v>133</v>
      </c>
      <c r="E18" s="169">
        <v>2021</v>
      </c>
      <c r="F18" s="170">
        <v>52.98</v>
      </c>
      <c r="G18" s="170">
        <f>IFERROR(tbl_Wages[[#This Row],[Wage in price year of data source (without overhead)]]*INDEX(tbl_CPI[Index], MATCH(PriceYear, tbl_CPI[Year], 0))/INDEX(tbl_CPI[Index], MATCH(tbl_Wages[[#This Row],[Price year of data source]], tbl_CPI[Year], 0)), "")</f>
        <v>60.201144067796612</v>
      </c>
    </row>
    <row r="19" spans="2:7" s="167" customFormat="1" ht="17.25" customHeight="1" x14ac:dyDescent="0.3">
      <c r="B19" s="128" t="str">
        <v/>
      </c>
      <c r="C19" s="168" t="str">
        <f>TEXT(ROW(C19)-ROW(tbl_Wages[[#Headers],[Number]]), "00")</f>
        <v>05</v>
      </c>
      <c r="D19" s="71" t="s">
        <v>134</v>
      </c>
      <c r="E19" s="169">
        <v>2021</v>
      </c>
      <c r="F19" s="170">
        <v>39.28</v>
      </c>
      <c r="G19" s="170">
        <f>IFERROR(tbl_Wages[[#This Row],[Wage in price year of data source (without overhead)]]*INDEX(tbl_CPI[Index], MATCH(PriceYear, tbl_CPI[Year], 0))/INDEX(tbl_CPI[Index], MATCH(tbl_Wages[[#This Row],[Price year of data source]], tbl_CPI[Year], 0)), "")</f>
        <v>44.633841807909604</v>
      </c>
    </row>
    <row r="20" spans="2:7" s="167" customFormat="1" ht="17.25" customHeight="1" x14ac:dyDescent="0.3">
      <c r="B20" s="128" t="str">
        <v/>
      </c>
      <c r="C20" s="168" t="str">
        <f>TEXT(ROW(C20)-ROW(tbl_Wages[[#Headers],[Number]]), "00")</f>
        <v>06</v>
      </c>
      <c r="D20" s="71" t="s">
        <v>135</v>
      </c>
      <c r="E20" s="169">
        <v>2021</v>
      </c>
      <c r="F20" s="170">
        <v>46.16</v>
      </c>
      <c r="G20" s="170">
        <f>IFERROR(tbl_Wages[[#This Row],[Wage in price year of data source (without overhead)]]*INDEX(tbl_CPI[Index], MATCH(PriceYear, tbl_CPI[Year], 0))/INDEX(tbl_CPI[Index], MATCH(tbl_Wages[[#This Row],[Price year of data source]], tbl_CPI[Year], 0)), "")</f>
        <v>52.451581920903955</v>
      </c>
    </row>
    <row r="21" spans="2:7" s="167" customFormat="1" ht="17.25" customHeight="1" x14ac:dyDescent="0.3">
      <c r="B21" s="128" t="str">
        <v/>
      </c>
      <c r="C21" s="168" t="str">
        <f>TEXT(ROW(C21)-ROW(tbl_Wages[[#Headers],[Number]]), "00")</f>
        <v>07</v>
      </c>
      <c r="D21" s="71" t="s">
        <v>136</v>
      </c>
      <c r="E21" s="169">
        <v>2021</v>
      </c>
      <c r="F21" s="170">
        <v>29.87</v>
      </c>
      <c r="G21" s="170">
        <f>IFERROR(tbl_Wages[[#This Row],[Wage in price year of data source (without overhead)]]*INDEX(tbl_CPI[Index], MATCH(PriceYear, tbl_CPI[Year], 0))/INDEX(tbl_CPI[Index], MATCH(tbl_Wages[[#This Row],[Price year of data source]], tbl_CPI[Year], 0)), "")</f>
        <v>33.941264124293788</v>
      </c>
    </row>
    <row r="22" spans="2:7" s="167" customFormat="1" ht="17.25" customHeight="1" x14ac:dyDescent="0.3">
      <c r="B22" s="128" t="str">
        <v/>
      </c>
      <c r="C22" s="168" t="str">
        <f>TEXT(ROW(C22)-ROW(tbl_Wages[[#Headers],[Number]]), "00")</f>
        <v>08</v>
      </c>
      <c r="D22" s="71" t="s">
        <v>137</v>
      </c>
      <c r="E22" s="169">
        <v>2021</v>
      </c>
      <c r="F22" s="170">
        <v>39.11</v>
      </c>
      <c r="G22" s="170">
        <f>IFERROR(tbl_Wages[[#This Row],[Wage in price year of data source (without overhead)]]*INDEX(tbl_CPI[Index], MATCH(PriceYear, tbl_CPI[Year], 0))/INDEX(tbl_CPI[Index], MATCH(tbl_Wages[[#This Row],[Price year of data source]], tbl_CPI[Year], 0)), "")</f>
        <v>44.440670903954803</v>
      </c>
    </row>
    <row r="23" spans="2:7" s="167" customFormat="1" ht="17.25" customHeight="1" x14ac:dyDescent="0.3">
      <c r="B23" s="128" t="str">
        <v/>
      </c>
      <c r="C23" s="168" t="str">
        <f>TEXT(ROW(C23)-ROW(tbl_Wages[[#Headers],[Number]]), "00")</f>
        <v>09</v>
      </c>
      <c r="D23" s="71" t="s">
        <v>138</v>
      </c>
      <c r="E23" s="169">
        <v>2021</v>
      </c>
      <c r="F23" s="170">
        <v>28.89</v>
      </c>
      <c r="G23" s="170">
        <f>IFERROR(tbl_Wages[[#This Row],[Wage in price year of data source (without overhead)]]*INDEX(tbl_CPI[Index], MATCH(PriceYear, tbl_CPI[Year], 0))/INDEX(tbl_CPI[Index], MATCH(tbl_Wages[[#This Row],[Price year of data source]], tbl_CPI[Year], 0)), "")</f>
        <v>32.827690677966103</v>
      </c>
    </row>
    <row r="24" spans="2:7" s="167" customFormat="1" ht="17.25" customHeight="1" x14ac:dyDescent="0.3">
      <c r="B24" s="128" t="str">
        <v/>
      </c>
      <c r="C24" s="168" t="str">
        <f>TEXT(ROW(C24)-ROW(tbl_Wages[[#Headers],[Number]]), "00")</f>
        <v>10</v>
      </c>
      <c r="D24" s="71" t="s">
        <v>139</v>
      </c>
      <c r="E24" s="169">
        <v>2021</v>
      </c>
      <c r="F24" s="170">
        <v>29.32</v>
      </c>
      <c r="G24" s="170">
        <f>IFERROR(tbl_Wages[[#This Row],[Wage in price year of data source (without overhead)]]*INDEX(tbl_CPI[Index], MATCH(PriceYear, tbl_CPI[Year], 0))/INDEX(tbl_CPI[Index], MATCH(tbl_Wages[[#This Row],[Price year of data source]], tbl_CPI[Year], 0)), "")</f>
        <v>33.316299435028256</v>
      </c>
    </row>
    <row r="25" spans="2:7" s="167" customFormat="1" ht="17.25" customHeight="1" x14ac:dyDescent="0.3">
      <c r="B25" s="128" t="str">
        <v/>
      </c>
      <c r="C25" s="168" t="str">
        <f>TEXT(ROW(C25)-ROW(tbl_Wages[[#Headers],[Number]]), "00")</f>
        <v>11</v>
      </c>
      <c r="D25" s="71" t="s">
        <v>140</v>
      </c>
      <c r="E25" s="169">
        <v>2021</v>
      </c>
      <c r="F25" s="170">
        <v>23.37</v>
      </c>
      <c r="G25" s="170">
        <f>IFERROR(tbl_Wages[[#This Row],[Wage in price year of data source (without overhead)]]*INDEX(tbl_CPI[Index], MATCH(PriceYear, tbl_CPI[Year], 0))/INDEX(tbl_CPI[Index], MATCH(tbl_Wages[[#This Row],[Price year of data source]], tbl_CPI[Year], 0)), "")</f>
        <v>26.555317796610172</v>
      </c>
    </row>
    <row r="26" spans="2:7" s="167" customFormat="1" ht="17.25" customHeight="1" x14ac:dyDescent="0.3">
      <c r="B26" s="128" t="str">
        <v/>
      </c>
      <c r="C26" s="168" t="str">
        <f>TEXT(ROW(C26)-ROW(tbl_Wages[[#Headers],[Number]]), "00")</f>
        <v>12</v>
      </c>
      <c r="D26" s="71" t="s">
        <v>141</v>
      </c>
      <c r="E26" s="169">
        <v>2021</v>
      </c>
      <c r="F26" s="170">
        <v>23.84</v>
      </c>
      <c r="G26" s="170">
        <f>IFERROR(tbl_Wages[[#This Row],[Wage in price year of data source (without overhead)]]*INDEX(tbl_CPI[Index], MATCH(PriceYear, tbl_CPI[Year], 0))/INDEX(tbl_CPI[Index], MATCH(tbl_Wages[[#This Row],[Price year of data source]], tbl_CPI[Year], 0)), "")</f>
        <v>27.08937853107345</v>
      </c>
    </row>
    <row r="27" spans="2:7" s="167" customFormat="1" ht="17.25" customHeight="1" x14ac:dyDescent="0.3">
      <c r="B27" s="128" t="str">
        <v/>
      </c>
      <c r="C27" s="168" t="str">
        <f>TEXT(ROW(C27)-ROW(tbl_Wages[[#Headers],[Number]]), "00")</f>
        <v>13</v>
      </c>
      <c r="D27" s="71" t="s">
        <v>142</v>
      </c>
      <c r="E27" s="169">
        <v>2021</v>
      </c>
      <c r="F27" s="170">
        <v>39.99</v>
      </c>
      <c r="G27" s="170">
        <f>IFERROR(tbl_Wages[[#This Row],[Wage in price year of data source (without overhead)]]*INDEX(tbl_CPI[Index], MATCH(PriceYear, tbl_CPI[Year], 0))/INDEX(tbl_CPI[Index], MATCH(tbl_Wages[[#This Row],[Price year of data source]], tbl_CPI[Year], 0)), "")</f>
        <v>45.440614406779666</v>
      </c>
    </row>
    <row r="28" spans="2:7" s="167" customFormat="1" ht="17.25" customHeight="1" x14ac:dyDescent="0.3">
      <c r="B28" s="128" t="str">
        <v/>
      </c>
      <c r="C28" s="168" t="str">
        <f>TEXT(ROW(C28)-ROW(tbl_Wages[[#Headers],[Number]]), "00")</f>
        <v>14</v>
      </c>
      <c r="D28" s="71" t="s">
        <v>143</v>
      </c>
      <c r="E28" s="169">
        <v>2021</v>
      </c>
      <c r="F28" s="170">
        <v>43.84</v>
      </c>
      <c r="G28" s="170">
        <f>IFERROR(tbl_Wages[[#This Row],[Wage in price year of data source (without overhead)]]*INDEX(tbl_CPI[Index], MATCH(PriceYear, tbl_CPI[Year], 0))/INDEX(tbl_CPI[Index], MATCH(tbl_Wages[[#This Row],[Price year of data source]], tbl_CPI[Year], 0)), "")</f>
        <v>49.815367231638426</v>
      </c>
    </row>
    <row r="29" spans="2:7" s="167" customFormat="1" ht="17.25" customHeight="1" x14ac:dyDescent="0.3">
      <c r="B29" s="128" t="str">
        <v/>
      </c>
      <c r="C29" s="168" t="str">
        <f>TEXT(ROW(C29)-ROW(tbl_Wages[[#Headers],[Number]]), "00")</f>
        <v>15</v>
      </c>
      <c r="D29" s="71" t="s">
        <v>144</v>
      </c>
      <c r="E29" s="169">
        <v>2021</v>
      </c>
      <c r="F29" s="170">
        <v>33.28</v>
      </c>
      <c r="G29" s="170">
        <f>IFERROR(tbl_Wages[[#This Row],[Wage in price year of data source (without overhead)]]*INDEX(tbl_CPI[Index], MATCH(PriceYear, tbl_CPI[Year], 0))/INDEX(tbl_CPI[Index], MATCH(tbl_Wages[[#This Row],[Price year of data source]], tbl_CPI[Year], 0)), "")</f>
        <v>37.816045197740117</v>
      </c>
    </row>
    <row r="30" spans="2:7" s="167" customFormat="1" ht="17.25" customHeight="1" x14ac:dyDescent="0.3">
      <c r="B30" s="128" t="str">
        <v/>
      </c>
      <c r="C30" s="168" t="str">
        <f>TEXT(ROW(C30)-ROW(tbl_Wages[[#Headers],[Number]]), "00")</f>
        <v>16</v>
      </c>
      <c r="D30" s="71" t="s">
        <v>145</v>
      </c>
      <c r="E30" s="169">
        <v>2021</v>
      </c>
      <c r="F30" s="170">
        <v>31.85</v>
      </c>
      <c r="G30" s="170">
        <f>IFERROR(tbl_Wages[[#This Row],[Wage in price year of data source (without overhead)]]*INDEX(tbl_CPI[Index], MATCH(PriceYear, tbl_CPI[Year], 0))/INDEX(tbl_CPI[Index], MATCH(tbl_Wages[[#This Row],[Price year of data source]], tbl_CPI[Year], 0)), "")</f>
        <v>36.191137005649722</v>
      </c>
    </row>
    <row r="31" spans="2:7" s="167" customFormat="1" ht="17.25" customHeight="1" x14ac:dyDescent="0.3">
      <c r="B31" s="128" t="str">
        <v/>
      </c>
      <c r="C31" s="168" t="str">
        <f>TEXT(ROW(C31)-ROW(tbl_Wages[[#Headers],[Number]]), "00")</f>
        <v>17</v>
      </c>
      <c r="D31" s="71" t="s">
        <v>146</v>
      </c>
      <c r="E31" s="169">
        <v>2021</v>
      </c>
      <c r="F31" s="170">
        <v>39.590000000000003</v>
      </c>
      <c r="G31" s="170">
        <f>IFERROR(tbl_Wages[[#This Row],[Wage in price year of data source (without overhead)]]*INDEX(tbl_CPI[Index], MATCH(PriceYear, tbl_CPI[Year], 0))/INDEX(tbl_CPI[Index], MATCH(tbl_Wages[[#This Row],[Price year of data source]], tbl_CPI[Year], 0)), "")</f>
        <v>44.986094632768371</v>
      </c>
    </row>
    <row r="32" spans="2:7" s="167" customFormat="1" ht="17.25" customHeight="1" x14ac:dyDescent="0.3">
      <c r="B32" s="128" t="str">
        <v/>
      </c>
      <c r="C32" s="168" t="str">
        <f>TEXT(ROW(C32)-ROW(tbl_Wages[[#Headers],[Number]]), "00")</f>
        <v>18</v>
      </c>
      <c r="D32" s="71" t="s">
        <v>147</v>
      </c>
      <c r="E32" s="169">
        <v>2021</v>
      </c>
      <c r="F32" s="170">
        <v>41.61</v>
      </c>
      <c r="G32" s="170">
        <f>IFERROR(tbl_Wages[[#This Row],[Wage in price year of data source (without overhead)]]*INDEX(tbl_CPI[Index], MATCH(PriceYear, tbl_CPI[Year], 0))/INDEX(tbl_CPI[Index], MATCH(tbl_Wages[[#This Row],[Price year of data source]], tbl_CPI[Year], 0)), "")</f>
        <v>47.281419491525426</v>
      </c>
    </row>
    <row r="33" spans="2:9" s="167" customFormat="1" ht="17.25" customHeight="1" x14ac:dyDescent="0.3">
      <c r="B33" s="128" t="str">
        <v/>
      </c>
      <c r="C33" s="168" t="str">
        <f>TEXT(ROW(C33)-ROW(tbl_Wages[[#Headers],[Number]]), "00")</f>
        <v>19</v>
      </c>
      <c r="D33" s="71" t="s">
        <v>148</v>
      </c>
      <c r="E33" s="169">
        <v>2021</v>
      </c>
      <c r="F33" s="170">
        <v>29.79</v>
      </c>
      <c r="G33" s="170">
        <f>IFERROR(tbl_Wages[[#This Row],[Wage in price year of data source (without overhead)]]*INDEX(tbl_CPI[Index], MATCH(PriceYear, tbl_CPI[Year], 0))/INDEX(tbl_CPI[Index], MATCH(tbl_Wages[[#This Row],[Price year of data source]], tbl_CPI[Year], 0)), "")</f>
        <v>33.85036016949153</v>
      </c>
    </row>
    <row r="34" spans="2:9" s="167" customFormat="1" ht="17.25" customHeight="1" x14ac:dyDescent="0.3">
      <c r="B34" s="128" t="str">
        <v/>
      </c>
      <c r="C34" s="168" t="str">
        <f>TEXT(ROW(C34)-ROW(tbl_Wages[[#Headers],[Number]]), "00")</f>
        <v>20</v>
      </c>
      <c r="D34" s="71" t="s">
        <v>149</v>
      </c>
      <c r="E34" s="169">
        <v>2021</v>
      </c>
      <c r="F34" s="170">
        <v>22.16</v>
      </c>
      <c r="G34" s="170">
        <f>IFERROR(tbl_Wages[[#This Row],[Wage in price year of data source (without overhead)]]*INDEX(tbl_CPI[Index], MATCH(PriceYear, tbl_CPI[Year], 0))/INDEX(tbl_CPI[Index], MATCH(tbl_Wages[[#This Row],[Price year of data source]], tbl_CPI[Year], 0)), "")</f>
        <v>25.180395480225993</v>
      </c>
    </row>
    <row r="35" spans="2:9" s="167" customFormat="1" ht="17.25" customHeight="1" x14ac:dyDescent="0.3">
      <c r="B35" s="128" t="str">
        <v/>
      </c>
      <c r="C35" s="168" t="str">
        <f>TEXT(ROW(C35)-ROW(tbl_Wages[[#Headers],[Number]]), "00")</f>
        <v>21</v>
      </c>
      <c r="D35" s="71" t="s">
        <v>150</v>
      </c>
      <c r="E35" s="169">
        <v>2021</v>
      </c>
      <c r="F35" s="170">
        <v>35.36</v>
      </c>
      <c r="G35" s="170">
        <f>IFERROR(tbl_Wages[[#This Row],[Wage in price year of data source (without overhead)]]*INDEX(tbl_CPI[Index], MATCH(PriceYear, tbl_CPI[Year], 0))/INDEX(tbl_CPI[Index], MATCH(tbl_Wages[[#This Row],[Price year of data source]], tbl_CPI[Year], 0)), "")</f>
        <v>40.179548022598873</v>
      </c>
    </row>
    <row r="36" spans="2:9" s="167" customFormat="1" ht="17.25" customHeight="1" x14ac:dyDescent="0.3">
      <c r="B36" s="128" t="str">
        <v/>
      </c>
      <c r="C36" s="168" t="str">
        <f>TEXT(ROW(C36)-ROW(tbl_Wages[[#Headers],[Number]]), "00")</f>
        <v>22</v>
      </c>
      <c r="D36" s="71" t="s">
        <v>151</v>
      </c>
      <c r="E36" s="169">
        <v>2021</v>
      </c>
      <c r="F36" s="170">
        <v>39.97</v>
      </c>
      <c r="G36" s="170">
        <f>IFERROR(tbl_Wages[[#This Row],[Wage in price year of data source (without overhead)]]*INDEX(tbl_CPI[Index], MATCH(PriceYear, tbl_CPI[Year], 0))/INDEX(tbl_CPI[Index], MATCH(tbl_Wages[[#This Row],[Price year of data source]], tbl_CPI[Year], 0)), "")</f>
        <v>45.417888418079094</v>
      </c>
    </row>
    <row r="37" spans="2:9" s="167" customFormat="1" ht="17.25" customHeight="1" x14ac:dyDescent="0.3">
      <c r="B37" s="128" t="str">
        <v/>
      </c>
      <c r="C37" s="168" t="str">
        <f>TEXT(ROW(C37)-ROW(tbl_Wages[[#Headers],[Number]]), "00")</f>
        <v>23</v>
      </c>
      <c r="D37" s="71" t="s">
        <v>152</v>
      </c>
      <c r="E37" s="169">
        <v>2021</v>
      </c>
      <c r="F37" s="170">
        <v>40.03</v>
      </c>
      <c r="G37" s="170">
        <f>IFERROR(tbl_Wages[[#This Row],[Wage in price year of data source (without overhead)]]*INDEX(tbl_CPI[Index], MATCH(PriceYear, tbl_CPI[Year], 0))/INDEX(tbl_CPI[Index], MATCH(tbl_Wages[[#This Row],[Price year of data source]], tbl_CPI[Year], 0)), "")</f>
        <v>45.486066384180795</v>
      </c>
      <c r="I37" s="171"/>
    </row>
    <row r="38" spans="2:9" s="167" customFormat="1" ht="17.25" customHeight="1" x14ac:dyDescent="0.3">
      <c r="B38" s="128" t="str">
        <v/>
      </c>
      <c r="C38" s="168" t="str">
        <f>TEXT(ROW(C38)-ROW(tbl_Wages[[#Headers],[Number]]), "00")</f>
        <v>24</v>
      </c>
      <c r="D38" s="71" t="s">
        <v>153</v>
      </c>
      <c r="E38" s="169">
        <v>2021</v>
      </c>
      <c r="F38" s="170">
        <v>23.9</v>
      </c>
      <c r="G38" s="170">
        <f>IFERROR(tbl_Wages[[#This Row],[Wage in price year of data source (without overhead)]]*INDEX(tbl_CPI[Index], MATCH(PriceYear, tbl_CPI[Year], 0))/INDEX(tbl_CPI[Index], MATCH(tbl_Wages[[#This Row],[Price year of data source]], tbl_CPI[Year], 0)), "")</f>
        <v>27.15755649717514</v>
      </c>
    </row>
    <row r="39" spans="2:9" s="167" customFormat="1" ht="17.25" customHeight="1" x14ac:dyDescent="0.3">
      <c r="B39" s="128" t="str">
        <v/>
      </c>
      <c r="C39" s="168" t="str">
        <f>TEXT(ROW(C39)-ROW(tbl_Wages[[#Headers],[Number]]), "00")</f>
        <v>25</v>
      </c>
      <c r="D39" s="71" t="s">
        <v>154</v>
      </c>
      <c r="E39" s="169">
        <v>2021</v>
      </c>
      <c r="F39" s="170">
        <v>44.35</v>
      </c>
      <c r="G39" s="170">
        <f>IFERROR(tbl_Wages[[#This Row],[Wage in price year of data source (without overhead)]]*INDEX(tbl_CPI[Index], MATCH(PriceYear, tbl_CPI[Year], 0))/INDEX(tbl_CPI[Index], MATCH(tbl_Wages[[#This Row],[Price year of data source]], tbl_CPI[Year], 0)), "")</f>
        <v>50.394879943502836</v>
      </c>
    </row>
    <row r="40" spans="2:9" s="167" customFormat="1" ht="17.25" customHeight="1" x14ac:dyDescent="0.3">
      <c r="B40" s="128" t="str">
        <v/>
      </c>
      <c r="C40" s="168" t="str">
        <f>TEXT(ROW(C40)-ROW(tbl_Wages[[#Headers],[Number]]), "00")</f>
        <v>26</v>
      </c>
      <c r="D40" s="71" t="s">
        <v>155</v>
      </c>
      <c r="E40" s="169">
        <v>2021</v>
      </c>
      <c r="F40" s="170">
        <v>23.86</v>
      </c>
      <c r="G40" s="170">
        <f>IFERROR(tbl_Wages[[#This Row],[Wage in price year of data source (without overhead)]]*INDEX(tbl_CPI[Index], MATCH(PriceYear, tbl_CPI[Year], 0))/INDEX(tbl_CPI[Index], MATCH(tbl_Wages[[#This Row],[Price year of data source]], tbl_CPI[Year], 0)), "")</f>
        <v>27.112104519774014</v>
      </c>
    </row>
    <row r="41" spans="2:9" s="167" customFormat="1" ht="17.25" customHeight="1" x14ac:dyDescent="0.3">
      <c r="B41" s="128" t="str">
        <v/>
      </c>
      <c r="C41" s="168" t="str">
        <f>TEXT(ROW(C41)-ROW(tbl_Wages[[#Headers],[Number]]), "00")</f>
        <v>27</v>
      </c>
      <c r="D41" s="71" t="s">
        <v>156</v>
      </c>
      <c r="E41" s="169">
        <v>2021</v>
      </c>
      <c r="F41" s="170">
        <v>28.38</v>
      </c>
      <c r="G41" s="170">
        <f>IFERROR(tbl_Wages[[#This Row],[Wage in price year of data source (without overhead)]]*INDEX(tbl_CPI[Index], MATCH(PriceYear, tbl_CPI[Year], 0))/INDEX(tbl_CPI[Index], MATCH(tbl_Wages[[#This Row],[Price year of data source]], tbl_CPI[Year], 0)), "")</f>
        <v>32.248177966101693</v>
      </c>
    </row>
    <row r="42" spans="2:9" s="167" customFormat="1" ht="17.25" customHeight="1" x14ac:dyDescent="0.3">
      <c r="B42" s="128" t="str">
        <v/>
      </c>
      <c r="C42" s="168" t="str">
        <f>TEXT(ROW(C42)-ROW(tbl_Wages[[#Headers],[Number]]), "00")</f>
        <v>28</v>
      </c>
      <c r="D42" s="71" t="s">
        <v>157</v>
      </c>
      <c r="E42" s="169">
        <v>2021</v>
      </c>
      <c r="F42" s="170">
        <v>32.799999999999997</v>
      </c>
      <c r="G42" s="170">
        <f>IFERROR(tbl_Wages[[#This Row],[Wage in price year of data source (without overhead)]]*INDEX(tbl_CPI[Index], MATCH(PriceYear, tbl_CPI[Year], 0))/INDEX(tbl_CPI[Index], MATCH(tbl_Wages[[#This Row],[Price year of data source]], tbl_CPI[Year], 0)), "")</f>
        <v>37.270621468926549</v>
      </c>
    </row>
    <row r="43" spans="2:9" s="167" customFormat="1" ht="17.25" customHeight="1" x14ac:dyDescent="0.3">
      <c r="B43" s="128" t="str">
        <v/>
      </c>
      <c r="C43" s="168" t="str">
        <f>TEXT(ROW(C43)-ROW(tbl_Wages[[#Headers],[Number]]), "00")</f>
        <v>29</v>
      </c>
      <c r="D43" s="71" t="s">
        <v>158</v>
      </c>
      <c r="E43" s="169">
        <v>2021</v>
      </c>
      <c r="F43" s="170">
        <v>26.58</v>
      </c>
      <c r="G43" s="170">
        <f>IFERROR(tbl_Wages[[#This Row],[Wage in price year of data source (without overhead)]]*INDEX(tbl_CPI[Index], MATCH(PriceYear, tbl_CPI[Year], 0))/INDEX(tbl_CPI[Index], MATCH(tbl_Wages[[#This Row],[Price year of data source]], tbl_CPI[Year], 0)), "")</f>
        <v>30.202838983050846</v>
      </c>
    </row>
    <row r="44" spans="2:9" s="167" customFormat="1" ht="17.25" customHeight="1" x14ac:dyDescent="0.3">
      <c r="B44" s="128" t="str">
        <v/>
      </c>
      <c r="C44" s="168" t="str">
        <f>TEXT(ROW(C44)-ROW(tbl_Wages[[#Headers],[Number]]), "00")</f>
        <v>30</v>
      </c>
      <c r="D44" s="71" t="s">
        <v>159</v>
      </c>
      <c r="E44" s="169">
        <v>2021</v>
      </c>
      <c r="F44" s="170">
        <v>19.55</v>
      </c>
      <c r="G44" s="170">
        <f>IFERROR(tbl_Wages[[#This Row],[Wage in price year of data source (without overhead)]]*INDEX(tbl_CPI[Index], MATCH(PriceYear, tbl_CPI[Year], 0))/INDEX(tbl_CPI[Index], MATCH(tbl_Wages[[#This Row],[Price year of data source]], tbl_CPI[Year], 0)), "")</f>
        <v>22.214653954802262</v>
      </c>
    </row>
    <row r="45" spans="2:9" s="167" customFormat="1" ht="17.25" customHeight="1" x14ac:dyDescent="0.3">
      <c r="B45" s="128" t="str">
        <v/>
      </c>
      <c r="C45" s="168" t="str">
        <f>TEXT(ROW(C45)-ROW(tbl_Wages[[#Headers],[Number]]), "00")</f>
        <v>31</v>
      </c>
      <c r="D45" s="71" t="s">
        <v>160</v>
      </c>
      <c r="E45" s="169">
        <v>2021</v>
      </c>
      <c r="F45" s="170">
        <v>25.49</v>
      </c>
      <c r="G45" s="170">
        <f>IFERROR(tbl_Wages[[#This Row],[Wage in price year of data source (without overhead)]]*INDEX(tbl_CPI[Index], MATCH(PriceYear, tbl_CPI[Year], 0))/INDEX(tbl_CPI[Index], MATCH(tbl_Wages[[#This Row],[Price year of data source]], tbl_CPI[Year], 0)), "")</f>
        <v>28.964272598870053</v>
      </c>
    </row>
    <row r="46" spans="2:9" s="167" customFormat="1" ht="17.25" customHeight="1" x14ac:dyDescent="0.3">
      <c r="B46" s="128" t="str">
        <v/>
      </c>
      <c r="C46" s="168" t="str">
        <f>TEXT(ROW(C46)-ROW(tbl_Wages[[#Headers],[Number]]), "00")</f>
        <v>32</v>
      </c>
      <c r="D46" s="71" t="s">
        <v>161</v>
      </c>
      <c r="E46" s="169">
        <v>2021</v>
      </c>
      <c r="F46" s="170">
        <v>19.84</v>
      </c>
      <c r="G46" s="170">
        <f>IFERROR(tbl_Wages[[#This Row],[Wage in price year of data source (without overhead)]]*INDEX(tbl_CPI[Index], MATCH(PriceYear, tbl_CPI[Year], 0))/INDEX(tbl_CPI[Index], MATCH(tbl_Wages[[#This Row],[Price year of data source]], tbl_CPI[Year], 0)), "")</f>
        <v>22.544180790960453</v>
      </c>
    </row>
    <row r="47" spans="2:9" s="167" customFormat="1" ht="17.25" customHeight="1" x14ac:dyDescent="0.3">
      <c r="B47" s="128" t="str">
        <v/>
      </c>
      <c r="C47" s="168" t="str">
        <f>TEXT(ROW(C47)-ROW(tbl_Wages[[#Headers],[Number]]), "00")</f>
        <v>33</v>
      </c>
      <c r="D47" s="71" t="s">
        <v>162</v>
      </c>
      <c r="E47" s="169">
        <v>2021</v>
      </c>
      <c r="F47" s="170">
        <v>20.440000000000001</v>
      </c>
      <c r="G47" s="170">
        <f>IFERROR(tbl_Wages[[#This Row],[Wage in price year of data source (without overhead)]]*INDEX(tbl_CPI[Index], MATCH(PriceYear, tbl_CPI[Year], 0))/INDEX(tbl_CPI[Index], MATCH(tbl_Wages[[#This Row],[Price year of data source]], tbl_CPI[Year], 0)), "")</f>
        <v>23.225960451977404</v>
      </c>
    </row>
    <row r="48" spans="2:9" s="167" customFormat="1" ht="17.25" customHeight="1" x14ac:dyDescent="0.3">
      <c r="B48" s="128" t="str">
        <v/>
      </c>
      <c r="C48" s="168" t="str">
        <f>TEXT(ROW(C48)-ROW(tbl_Wages[[#Headers],[Number]]), "00")</f>
        <v>34</v>
      </c>
      <c r="D48" s="71" t="s">
        <v>163</v>
      </c>
      <c r="E48" s="169">
        <v>2021</v>
      </c>
      <c r="F48" s="170">
        <v>19.670000000000002</v>
      </c>
      <c r="G48" s="170">
        <f>IFERROR(tbl_Wages[[#This Row],[Wage in price year of data source (without overhead)]]*INDEX(tbl_CPI[Index], MATCH(PriceYear, tbl_CPI[Year], 0))/INDEX(tbl_CPI[Index], MATCH(tbl_Wages[[#This Row],[Price year of data source]], tbl_CPI[Year], 0)), "")</f>
        <v>22.351009887005652</v>
      </c>
    </row>
    <row r="49" spans="2:9" s="167" customFormat="1" ht="17.25" customHeight="1" x14ac:dyDescent="0.3">
      <c r="B49" s="128" t="str">
        <v/>
      </c>
      <c r="C49" s="168" t="str">
        <f>TEXT(ROW(C49)-ROW(tbl_Wages[[#Headers],[Number]]), "00")</f>
        <v>35</v>
      </c>
      <c r="D49" s="71" t="s">
        <v>164</v>
      </c>
      <c r="E49" s="169">
        <v>2021</v>
      </c>
      <c r="F49" s="170">
        <v>15.45</v>
      </c>
      <c r="G49" s="170">
        <f>IFERROR(tbl_Wages[[#This Row],[Wage in price year of data source (without overhead)]]*INDEX(tbl_CPI[Index], MATCH(PriceYear, tbl_CPI[Year], 0))/INDEX(tbl_CPI[Index], MATCH(tbl_Wages[[#This Row],[Price year of data source]], tbl_CPI[Year], 0)), "")</f>
        <v>17.555826271186444</v>
      </c>
    </row>
    <row r="50" spans="2:9" s="167" customFormat="1" ht="17.25" customHeight="1" x14ac:dyDescent="0.3">
      <c r="B50" s="128" t="str">
        <v/>
      </c>
      <c r="C50" s="168" t="str">
        <f>TEXT(ROW(C50)-ROW(tbl_Wages[[#Headers],[Number]]), "00")</f>
        <v>36</v>
      </c>
      <c r="D50" s="71" t="s">
        <v>165</v>
      </c>
      <c r="E50" s="169">
        <v>2021</v>
      </c>
      <c r="F50" s="170">
        <v>17.54</v>
      </c>
      <c r="G50" s="170">
        <f>IFERROR(tbl_Wages[[#This Row],[Wage in price year of data source (without overhead)]]*INDEX(tbl_CPI[Index], MATCH(PriceYear, tbl_CPI[Year], 0))/INDEX(tbl_CPI[Index], MATCH(tbl_Wages[[#This Row],[Price year of data source]], tbl_CPI[Year], 0)), "")</f>
        <v>19.930692090395482</v>
      </c>
    </row>
    <row r="51" spans="2:9" s="167" customFormat="1" ht="17.25" customHeight="1" x14ac:dyDescent="0.3">
      <c r="B51" s="128" t="str">
        <v/>
      </c>
      <c r="C51" s="168" t="str">
        <f>TEXT(ROW(C51)-ROW(tbl_Wages[[#Headers],[Number]]), "00")</f>
        <v>37</v>
      </c>
      <c r="D51" s="71" t="s">
        <v>166</v>
      </c>
      <c r="E51" s="169">
        <v>2021</v>
      </c>
      <c r="F51" s="170">
        <v>28.67</v>
      </c>
      <c r="G51" s="170">
        <f>IFERROR(tbl_Wages[[#This Row],[Wage in price year of data source (without overhead)]]*INDEX(tbl_CPI[Index], MATCH(PriceYear, tbl_CPI[Year], 0))/INDEX(tbl_CPI[Index], MATCH(tbl_Wages[[#This Row],[Price year of data source]], tbl_CPI[Year], 0)), "")</f>
        <v>32.577704802259895</v>
      </c>
    </row>
    <row r="52" spans="2:9" s="167" customFormat="1" ht="17.25" customHeight="1" x14ac:dyDescent="0.3">
      <c r="B52" s="128" t="str">
        <v/>
      </c>
      <c r="C52" s="168" t="str">
        <f>TEXT(ROW(C52)-ROW(tbl_Wages[[#Headers],[Number]]), "00")</f>
        <v>38</v>
      </c>
      <c r="D52" s="71" t="s">
        <v>167</v>
      </c>
      <c r="E52" s="169">
        <v>2021</v>
      </c>
      <c r="F52" s="170">
        <v>32.07</v>
      </c>
      <c r="G52" s="170">
        <f>IFERROR(tbl_Wages[[#This Row],[Wage in price year of data source (without overhead)]]*INDEX(tbl_CPI[Index], MATCH(PriceYear, tbl_CPI[Year], 0))/INDEX(tbl_CPI[Index], MATCH(tbl_Wages[[#This Row],[Price year of data source]], tbl_CPI[Year], 0)), "")</f>
        <v>36.441122881355938</v>
      </c>
    </row>
    <row r="53" spans="2:9" s="167" customFormat="1" ht="17.25" customHeight="1" x14ac:dyDescent="0.3">
      <c r="B53" s="128" t="str">
        <v/>
      </c>
      <c r="C53" s="168" t="str">
        <f>TEXT(ROW(C53)-ROW(tbl_Wages[[#Headers],[Number]]), "00")</f>
        <v>39</v>
      </c>
      <c r="D53" s="71" t="s">
        <v>168</v>
      </c>
      <c r="E53" s="169">
        <v>2021</v>
      </c>
      <c r="F53" s="170">
        <v>32.549999999999997</v>
      </c>
      <c r="G53" s="170">
        <f>IFERROR(tbl_Wages[[#This Row],[Wage in price year of data source (without overhead)]]*INDEX(tbl_CPI[Index], MATCH(PriceYear, tbl_CPI[Year], 0))/INDEX(tbl_CPI[Index], MATCH(tbl_Wages[[#This Row],[Price year of data source]], tbl_CPI[Year], 0)), "")</f>
        <v>36.986546610169491</v>
      </c>
    </row>
    <row r="54" spans="2:9" s="167" customFormat="1" ht="17.25" customHeight="1" x14ac:dyDescent="0.3">
      <c r="B54" s="128" t="str">
        <v/>
      </c>
      <c r="C54" s="168" t="str">
        <f>TEXT(ROW(C54)-ROW(tbl_Wages[[#Headers],[Number]]), "00")</f>
        <v>40</v>
      </c>
      <c r="D54" s="71" t="s">
        <v>169</v>
      </c>
      <c r="E54" s="169">
        <v>2021</v>
      </c>
      <c r="F54" s="170">
        <v>22.13</v>
      </c>
      <c r="G54" s="170">
        <f>IFERROR(tbl_Wages[[#This Row],[Wage in price year of data source (without overhead)]]*INDEX(tbl_CPI[Index], MATCH(PriceYear, tbl_CPI[Year], 0))/INDEX(tbl_CPI[Index], MATCH(tbl_Wages[[#This Row],[Price year of data source]], tbl_CPI[Year], 0)), "")</f>
        <v>25.146306497175143</v>
      </c>
    </row>
    <row r="55" spans="2:9" s="167" customFormat="1" ht="17.25" customHeight="1" x14ac:dyDescent="0.3">
      <c r="B55" s="128" t="str">
        <v/>
      </c>
      <c r="C55" s="168" t="str">
        <f>TEXT(ROW(C55)-ROW(tbl_Wages[[#Headers],[Number]]), "00")</f>
        <v>41</v>
      </c>
      <c r="D55" s="71" t="s">
        <v>170</v>
      </c>
      <c r="E55" s="169">
        <v>2021</v>
      </c>
      <c r="F55" s="170">
        <v>24.95</v>
      </c>
      <c r="G55" s="170">
        <f>IFERROR(tbl_Wages[[#This Row],[Wage in price year of data source (without overhead)]]*INDEX(tbl_CPI[Index], MATCH(PriceYear, tbl_CPI[Year], 0))/INDEX(tbl_CPI[Index], MATCH(tbl_Wages[[#This Row],[Price year of data source]], tbl_CPI[Year], 0)), "")</f>
        <v>28.350670903954803</v>
      </c>
    </row>
    <row r="56" spans="2:9" s="167" customFormat="1" ht="17.25" customHeight="1" x14ac:dyDescent="0.3">
      <c r="B56" s="128" t="str">
        <v/>
      </c>
      <c r="C56" s="168" t="str">
        <f>TEXT(ROW(C56)-ROW(tbl_Wages[[#Headers],[Number]]), "00")</f>
        <v>42</v>
      </c>
      <c r="D56" s="71" t="s">
        <v>171</v>
      </c>
      <c r="E56" s="169">
        <v>2021</v>
      </c>
      <c r="F56" s="170">
        <v>24.09</v>
      </c>
      <c r="G56" s="170">
        <f>IFERROR(tbl_Wages[[#This Row],[Wage in price year of data source (without overhead)]]*INDEX(tbl_CPI[Index], MATCH(PriceYear, tbl_CPI[Year], 0))/INDEX(tbl_CPI[Index], MATCH(tbl_Wages[[#This Row],[Price year of data source]], tbl_CPI[Year], 0)), "")</f>
        <v>27.373453389830509</v>
      </c>
    </row>
    <row r="57" spans="2:9" s="167" customFormat="1" ht="17.25" customHeight="1" x14ac:dyDescent="0.3">
      <c r="B57" s="128" t="str">
        <v/>
      </c>
      <c r="C57" s="168" t="str">
        <f>TEXT(ROW(C57)-ROW(tbl_Wages[[#Headers],[Number]]), "00")</f>
        <v>43</v>
      </c>
      <c r="D57" s="71" t="s">
        <v>172</v>
      </c>
      <c r="E57" s="169">
        <v>2021</v>
      </c>
      <c r="F57" s="170">
        <v>25.98</v>
      </c>
      <c r="G57" s="170">
        <f>IFERROR(tbl_Wages[[#This Row],[Wage in price year of data source (without overhead)]]*INDEX(tbl_CPI[Index], MATCH(PriceYear, tbl_CPI[Year], 0))/INDEX(tbl_CPI[Index], MATCH(tbl_Wages[[#This Row],[Price year of data source]], tbl_CPI[Year], 0)), "")</f>
        <v>29.521059322033899</v>
      </c>
      <c r="I57" s="171"/>
    </row>
    <row r="58" spans="2:9" s="167" customFormat="1" ht="17.25" customHeight="1" x14ac:dyDescent="0.3">
      <c r="B58" s="128" t="str">
        <v/>
      </c>
      <c r="C58" s="168" t="str">
        <f>TEXT(ROW(C58)-ROW(tbl_Wages[[#Headers],[Number]]), "00")</f>
        <v>44</v>
      </c>
      <c r="D58" s="71" t="s">
        <v>173</v>
      </c>
      <c r="E58" s="169">
        <v>2021</v>
      </c>
      <c r="F58" s="170">
        <v>35.32</v>
      </c>
      <c r="G58" s="170">
        <f>IFERROR(tbl_Wages[[#This Row],[Wage in price year of data source (without overhead)]]*INDEX(tbl_CPI[Index], MATCH(PriceYear, tbl_CPI[Year], 0))/INDEX(tbl_CPI[Index], MATCH(tbl_Wages[[#This Row],[Price year of data source]], tbl_CPI[Year], 0)), "")</f>
        <v>40.134096045197744</v>
      </c>
    </row>
    <row r="59" spans="2:9" s="167" customFormat="1" ht="17.25" customHeight="1" x14ac:dyDescent="0.3">
      <c r="B59" s="128" t="str">
        <v/>
      </c>
      <c r="C59" s="168" t="str">
        <f>TEXT(ROW(C59)-ROW(tbl_Wages[[#Headers],[Number]]), "00")</f>
        <v>45</v>
      </c>
      <c r="D59" s="71" t="s">
        <v>174</v>
      </c>
      <c r="E59" s="169">
        <v>2021</v>
      </c>
      <c r="F59" s="170">
        <v>20.99</v>
      </c>
      <c r="G59" s="170">
        <f>IFERROR(tbl_Wages[[#This Row],[Wage in price year of data source (without overhead)]]*INDEX(tbl_CPI[Index], MATCH(PriceYear, tbl_CPI[Year], 0))/INDEX(tbl_CPI[Index], MATCH(tbl_Wages[[#This Row],[Price year of data source]], tbl_CPI[Year], 0)), "")</f>
        <v>23.850925141242936</v>
      </c>
    </row>
    <row r="60" spans="2:9" s="167" customFormat="1" ht="17.25" customHeight="1" x14ac:dyDescent="0.3">
      <c r="B60" s="128" t="str">
        <v/>
      </c>
      <c r="C60" s="168" t="str">
        <f>TEXT(ROW(C60)-ROW(tbl_Wages[[#Headers],[Number]]), "00")</f>
        <v>46</v>
      </c>
      <c r="D60" s="71" t="s">
        <v>175</v>
      </c>
      <c r="E60" s="169">
        <v>2021</v>
      </c>
      <c r="F60" s="170">
        <v>21.16</v>
      </c>
      <c r="G60" s="170">
        <f>IFERROR(tbl_Wages[[#This Row],[Wage in price year of data source (without overhead)]]*INDEX(tbl_CPI[Index], MATCH(PriceYear, tbl_CPI[Year], 0))/INDEX(tbl_CPI[Index], MATCH(tbl_Wages[[#This Row],[Price year of data source]], tbl_CPI[Year], 0)), "")</f>
        <v>24.044096045197744</v>
      </c>
    </row>
    <row r="61" spans="2:9" s="167" customFormat="1" ht="17.25" customHeight="1" x14ac:dyDescent="0.3">
      <c r="B61" s="128" t="str">
        <v/>
      </c>
      <c r="C61" s="168" t="str">
        <f>TEXT(ROW(C61)-ROW(tbl_Wages[[#Headers],[Number]]), "00")</f>
        <v>47</v>
      </c>
      <c r="D61" s="71" t="s">
        <v>176</v>
      </c>
      <c r="E61" s="169">
        <v>2021</v>
      </c>
      <c r="F61" s="170">
        <v>24.85</v>
      </c>
      <c r="G61" s="170">
        <f>IFERROR(tbl_Wages[[#This Row],[Wage in price year of data source (without overhead)]]*INDEX(tbl_CPI[Index], MATCH(PriceYear, tbl_CPI[Year], 0))/INDEX(tbl_CPI[Index], MATCH(tbl_Wages[[#This Row],[Price year of data source]], tbl_CPI[Year], 0)), "")</f>
        <v>28.237040960451981</v>
      </c>
    </row>
    <row r="62" spans="2:9" s="167" customFormat="1" ht="17.25" customHeight="1" x14ac:dyDescent="0.3">
      <c r="B62" s="128" t="str">
        <v/>
      </c>
      <c r="C62" s="168" t="str">
        <f>TEXT(ROW(C62)-ROW(tbl_Wages[[#Headers],[Number]]), "00")</f>
        <v>48</v>
      </c>
      <c r="D62" s="71" t="s">
        <v>177</v>
      </c>
      <c r="E62" s="169">
        <v>2021</v>
      </c>
      <c r="F62" s="170">
        <v>35.049999999999997</v>
      </c>
      <c r="G62" s="170">
        <f>IFERROR(tbl_Wages[[#This Row],[Wage in price year of data source (without overhead)]]*INDEX(tbl_CPI[Index], MATCH(PriceYear, tbl_CPI[Year], 0))/INDEX(tbl_CPI[Index], MATCH(tbl_Wages[[#This Row],[Price year of data source]], tbl_CPI[Year], 0)), "")</f>
        <v>39.827295197740114</v>
      </c>
    </row>
    <row r="63" spans="2:9" s="167" customFormat="1" ht="17.25" customHeight="1" x14ac:dyDescent="0.3">
      <c r="B63" s="128" t="str">
        <v/>
      </c>
      <c r="C63" s="168" t="str">
        <f>TEXT(ROW(C63)-ROW(tbl_Wages[[#Headers],[Number]]), "00")</f>
        <v>49</v>
      </c>
      <c r="D63" s="71" t="s">
        <v>178</v>
      </c>
      <c r="E63" s="169">
        <v>2021</v>
      </c>
      <c r="F63" s="170">
        <v>22.37</v>
      </c>
      <c r="G63" s="170">
        <f>IFERROR(tbl_Wages[[#This Row],[Wage in price year of data source (without overhead)]]*INDEX(tbl_CPI[Index], MATCH(PriceYear, tbl_CPI[Year], 0))/INDEX(tbl_CPI[Index], MATCH(tbl_Wages[[#This Row],[Price year of data source]], tbl_CPI[Year], 0)), "")</f>
        <v>25.419018361581923</v>
      </c>
    </row>
    <row r="64" spans="2:9" s="167" customFormat="1" ht="17.25" customHeight="1" x14ac:dyDescent="0.3">
      <c r="B64" s="128" t="str">
        <v/>
      </c>
      <c r="C64" s="168" t="str">
        <f>TEXT(ROW(C64)-ROW(tbl_Wages[[#Headers],[Number]]), "00")</f>
        <v>50</v>
      </c>
      <c r="D64" s="71" t="s">
        <v>179</v>
      </c>
      <c r="E64" s="169">
        <v>2021</v>
      </c>
      <c r="F64" s="170">
        <v>22.94</v>
      </c>
      <c r="G64" s="170">
        <f>IFERROR(tbl_Wages[[#This Row],[Wage in price year of data source (without overhead)]]*INDEX(tbl_CPI[Index], MATCH(PriceYear, tbl_CPI[Year], 0))/INDEX(tbl_CPI[Index], MATCH(tbl_Wages[[#This Row],[Price year of data source]], tbl_CPI[Year], 0)), "")</f>
        <v>26.066709039548027</v>
      </c>
    </row>
    <row r="65" spans="2:8" s="167" customFormat="1" ht="17.25" customHeight="1" x14ac:dyDescent="0.3">
      <c r="B65" s="128" t="str">
        <v/>
      </c>
      <c r="C65" s="168" t="str">
        <f>TEXT(ROW(C65)-ROW(tbl_Wages[[#Headers],[Number]]), "00")</f>
        <v>51</v>
      </c>
      <c r="D65" s="72" t="s">
        <v>180</v>
      </c>
      <c r="E65" s="169">
        <v>2021</v>
      </c>
      <c r="F65" s="170">
        <v>19.61</v>
      </c>
      <c r="G65" s="172">
        <f>IFERROR(tbl_Wages[[#This Row],[Wage in price year of data source (without overhead)]]*INDEX(tbl_CPI[Index], MATCH(PriceYear, tbl_CPI[Year], 0))/INDEX(tbl_CPI[Index], MATCH(tbl_Wages[[#This Row],[Price year of data source]], tbl_CPI[Year], 0)), "")</f>
        <v>22.282831920903956</v>
      </c>
      <c r="H65" s="173"/>
    </row>
    <row r="66" spans="2:8" s="167" customFormat="1" ht="17.25" customHeight="1" x14ac:dyDescent="0.3">
      <c r="B66" s="128" t="str">
        <v>Type here ➤</v>
      </c>
      <c r="C66" s="168" t="str">
        <f>TEXT(ROW(C66)-ROW(tbl_Wages[[#Headers],[Number]]), "00")</f>
        <v>52</v>
      </c>
      <c r="D66" s="73" t="s">
        <v>181</v>
      </c>
      <c r="E66" s="174"/>
      <c r="F66" s="175"/>
      <c r="G66" s="170" t="str">
        <f>IFERROR(tbl_Wages[[#This Row],[Wage in price year of data source (without overhead)]]*INDEX(tbl_CPI[Index], MATCH(PriceYear, tbl_CPI[Year], 0))/INDEX(tbl_CPI[Index], MATCH(tbl_Wages[[#This Row],[Price year of data source]], tbl_CPI[Year], 0)), "")</f>
        <v/>
      </c>
    </row>
    <row r="67" spans="2:8" s="167" customFormat="1" ht="17.25" customHeight="1" x14ac:dyDescent="0.3">
      <c r="B67" s="128" t="str">
        <v/>
      </c>
      <c r="F67" s="165"/>
      <c r="G67" s="165"/>
    </row>
    <row r="68" spans="2:8" s="167" customFormat="1" ht="17.25" customHeight="1" x14ac:dyDescent="0.3">
      <c r="B68" s="128"/>
      <c r="F68" s="165"/>
      <c r="G68" s="165"/>
    </row>
    <row r="69" spans="2:8" s="167" customFormat="1" ht="17.25" customHeight="1" x14ac:dyDescent="0.3">
      <c r="B69" s="128"/>
      <c r="F69" s="165"/>
      <c r="G69" s="165"/>
    </row>
    <row r="70" spans="2:8" s="167" customFormat="1" ht="17.25" customHeight="1" x14ac:dyDescent="0.3">
      <c r="B70" s="128"/>
      <c r="F70" s="165"/>
      <c r="G70" s="165"/>
    </row>
    <row r="71" spans="2:8" s="167" customFormat="1" ht="17.25" customHeight="1" x14ac:dyDescent="0.3">
      <c r="B71" s="128"/>
      <c r="F71" s="165"/>
      <c r="G71" s="165"/>
    </row>
    <row r="72" spans="2:8" s="167" customFormat="1" ht="17.25" customHeight="1" x14ac:dyDescent="0.3">
      <c r="B72" s="128"/>
      <c r="F72" s="165"/>
      <c r="G72" s="165"/>
    </row>
    <row r="73" spans="2:8" s="167" customFormat="1" ht="17.25" customHeight="1" x14ac:dyDescent="0.3">
      <c r="B73" s="128"/>
      <c r="F73" s="165"/>
      <c r="G73" s="165"/>
    </row>
    <row r="74" spans="2:8" s="167" customFormat="1" ht="17.25" customHeight="1" x14ac:dyDescent="0.3">
      <c r="B74" s="128"/>
      <c r="F74" s="165"/>
      <c r="G74" s="165"/>
    </row>
    <row r="75" spans="2:8" s="167" customFormat="1" ht="17.25" customHeight="1" x14ac:dyDescent="0.3">
      <c r="B75" s="128"/>
      <c r="F75" s="165"/>
      <c r="G75" s="165"/>
    </row>
    <row r="76" spans="2:8" s="167" customFormat="1" ht="17.25" customHeight="1" x14ac:dyDescent="0.3">
      <c r="B76" s="128"/>
      <c r="F76" s="165"/>
      <c r="G76" s="165"/>
    </row>
    <row r="77" spans="2:8" s="167" customFormat="1" ht="17.25" customHeight="1" x14ac:dyDescent="0.3">
      <c r="B77" s="128"/>
      <c r="F77" s="165"/>
      <c r="G77" s="165"/>
    </row>
    <row r="78" spans="2:8" s="167" customFormat="1" ht="17.25" customHeight="1" x14ac:dyDescent="0.3">
      <c r="B78" s="128"/>
      <c r="F78" s="165"/>
      <c r="G78" s="165"/>
    </row>
    <row r="79" spans="2:8" s="167" customFormat="1" ht="17.25" customHeight="1" x14ac:dyDescent="0.3">
      <c r="B79" s="128"/>
      <c r="F79" s="165"/>
      <c r="G79" s="165"/>
    </row>
    <row r="80" spans="2:8" s="167" customFormat="1" ht="17.25" customHeight="1" x14ac:dyDescent="0.3">
      <c r="B80" s="128"/>
      <c r="F80" s="165"/>
      <c r="G80" s="165"/>
    </row>
    <row r="81" spans="2:7" s="167" customFormat="1" ht="17.25" customHeight="1" x14ac:dyDescent="0.3">
      <c r="B81" s="128"/>
      <c r="F81" s="165"/>
      <c r="G81" s="165"/>
    </row>
    <row r="82" spans="2:7" s="167" customFormat="1" ht="17.25" customHeight="1" x14ac:dyDescent="0.3">
      <c r="B82" s="128"/>
      <c r="F82" s="165"/>
      <c r="G82" s="165"/>
    </row>
    <row r="83" spans="2:7" s="167" customFormat="1" ht="17.25" customHeight="1" x14ac:dyDescent="0.3">
      <c r="B83" s="128"/>
      <c r="F83" s="165"/>
      <c r="G83" s="165"/>
    </row>
    <row r="84" spans="2:7" s="167" customFormat="1" ht="17.25" customHeight="1" x14ac:dyDescent="0.3">
      <c r="B84" s="128"/>
      <c r="F84" s="165"/>
      <c r="G84" s="165"/>
    </row>
    <row r="85" spans="2:7" s="167" customFormat="1" ht="17.25" customHeight="1" x14ac:dyDescent="0.3">
      <c r="B85" s="128"/>
      <c r="F85" s="165"/>
      <c r="G85" s="165"/>
    </row>
    <row r="86" spans="2:7" s="167" customFormat="1" ht="17.25" customHeight="1" x14ac:dyDescent="0.3">
      <c r="B86" s="128"/>
      <c r="F86" s="165"/>
      <c r="G86" s="165"/>
    </row>
    <row r="87" spans="2:7" s="167" customFormat="1" ht="17.25" customHeight="1" x14ac:dyDescent="0.3">
      <c r="B87" s="128"/>
      <c r="F87" s="165"/>
      <c r="G87" s="165"/>
    </row>
    <row r="88" spans="2:7" s="167" customFormat="1" ht="17.25" customHeight="1" x14ac:dyDescent="0.3">
      <c r="B88" s="128"/>
      <c r="F88" s="165"/>
      <c r="G88" s="165"/>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6BB00"/>
  </sheetPr>
  <dimension ref="B2:F38"/>
  <sheetViews>
    <sheetView showGridLines="0" zoomScale="90" zoomScaleNormal="90" workbookViewId="0">
      <selection activeCell="G38" sqref="G38"/>
    </sheetView>
  </sheetViews>
  <sheetFormatPr defaultColWidth="9.109375" defaultRowHeight="11.4" x14ac:dyDescent="0.2"/>
  <cols>
    <col min="1" max="1" width="2.44140625" style="11" customWidth="1"/>
    <col min="2" max="2" width="12.109375" style="11" customWidth="1"/>
    <col min="3" max="3" width="11" style="11" customWidth="1"/>
    <col min="4" max="4" width="11.5546875" style="11" customWidth="1"/>
    <col min="5" max="5" width="15.44140625" style="11" customWidth="1"/>
    <col min="6" max="6" width="11.44140625" style="11" bestFit="1" customWidth="1"/>
    <col min="7" max="7" width="15.5546875" style="11" customWidth="1"/>
    <col min="8" max="16384" width="9.109375" style="11"/>
  </cols>
  <sheetData>
    <row r="2" spans="2:4" ht="15.6" x14ac:dyDescent="0.3">
      <c r="C2" s="222" t="s">
        <v>182</v>
      </c>
    </row>
    <row r="14" spans="2:4" ht="12" x14ac:dyDescent="0.2">
      <c r="C14" s="39" t="s">
        <v>183</v>
      </c>
      <c r="D14" s="40" t="s">
        <v>184</v>
      </c>
    </row>
    <row r="15" spans="2:4" x14ac:dyDescent="0.2">
      <c r="B15" s="11" t="str" cm="1">
        <f t="array" ref="B15:B38">_xlfn.VSTACK(IF(tbl_CPI[Year]=tbl_CPI[Year], ""), "Type here ➤")</f>
        <v/>
      </c>
      <c r="C15" s="99">
        <v>2002</v>
      </c>
      <c r="D15" s="100">
        <v>100</v>
      </c>
    </row>
    <row r="16" spans="2:4" x14ac:dyDescent="0.2">
      <c r="B16" s="11" t="str">
        <v/>
      </c>
      <c r="C16" s="41">
        <v>2003</v>
      </c>
      <c r="D16" s="42">
        <v>102.8</v>
      </c>
    </row>
    <row r="17" spans="2:4" x14ac:dyDescent="0.2">
      <c r="B17" s="11" t="str">
        <v/>
      </c>
      <c r="C17" s="41">
        <v>2004</v>
      </c>
      <c r="D17" s="42">
        <v>104.7</v>
      </c>
    </row>
    <row r="18" spans="2:4" x14ac:dyDescent="0.2">
      <c r="B18" s="11" t="str">
        <v/>
      </c>
      <c r="C18" s="41">
        <v>2005</v>
      </c>
      <c r="D18" s="42">
        <v>107</v>
      </c>
    </row>
    <row r="19" spans="2:4" x14ac:dyDescent="0.2">
      <c r="B19" s="11" t="str">
        <v/>
      </c>
      <c r="C19" s="41">
        <v>2006</v>
      </c>
      <c r="D19" s="42">
        <v>109.1</v>
      </c>
    </row>
    <row r="20" spans="2:4" x14ac:dyDescent="0.2">
      <c r="B20" s="11" t="str">
        <v/>
      </c>
      <c r="C20" s="41">
        <v>2007</v>
      </c>
      <c r="D20" s="42">
        <v>111.5</v>
      </c>
    </row>
    <row r="21" spans="2:4" x14ac:dyDescent="0.2">
      <c r="B21" s="11" t="str">
        <v/>
      </c>
      <c r="C21" s="41">
        <v>2008</v>
      </c>
      <c r="D21" s="42">
        <v>114.1</v>
      </c>
    </row>
    <row r="22" spans="2:4" x14ac:dyDescent="0.2">
      <c r="B22" s="11" t="str">
        <v/>
      </c>
      <c r="C22" s="41">
        <v>2009</v>
      </c>
      <c r="D22" s="42">
        <v>114.4</v>
      </c>
    </row>
    <row r="23" spans="2:4" x14ac:dyDescent="0.2">
      <c r="B23" s="11" t="str">
        <v/>
      </c>
      <c r="C23" s="41">
        <v>2010</v>
      </c>
      <c r="D23" s="42">
        <v>116.5</v>
      </c>
    </row>
    <row r="24" spans="2:4" x14ac:dyDescent="0.2">
      <c r="B24" s="11" t="str">
        <v/>
      </c>
      <c r="C24" s="41">
        <v>2011</v>
      </c>
      <c r="D24" s="42">
        <v>119.9</v>
      </c>
    </row>
    <row r="25" spans="2:4" x14ac:dyDescent="0.2">
      <c r="B25" s="11" t="str">
        <v/>
      </c>
      <c r="C25" s="41">
        <v>2012</v>
      </c>
      <c r="D25" s="42">
        <v>121.7</v>
      </c>
    </row>
    <row r="26" spans="2:4" x14ac:dyDescent="0.2">
      <c r="B26" s="11" t="str">
        <v/>
      </c>
      <c r="C26" s="41">
        <v>2013</v>
      </c>
      <c r="D26" s="42">
        <v>122.8</v>
      </c>
    </row>
    <row r="27" spans="2:4" x14ac:dyDescent="0.2">
      <c r="B27" s="11" t="str">
        <v/>
      </c>
      <c r="C27" s="41">
        <v>2014</v>
      </c>
      <c r="D27" s="42">
        <v>125.2</v>
      </c>
    </row>
    <row r="28" spans="2:4" x14ac:dyDescent="0.2">
      <c r="B28" s="11" t="str">
        <v/>
      </c>
      <c r="C28" s="41">
        <v>2015</v>
      </c>
      <c r="D28" s="42">
        <v>126.6</v>
      </c>
    </row>
    <row r="29" spans="2:4" x14ac:dyDescent="0.2">
      <c r="B29" s="11" t="str">
        <v/>
      </c>
      <c r="C29" s="41">
        <v>2016</v>
      </c>
      <c r="D29" s="42">
        <v>128.4</v>
      </c>
    </row>
    <row r="30" spans="2:4" x14ac:dyDescent="0.2">
      <c r="B30" s="11" t="str">
        <v/>
      </c>
      <c r="C30" s="41">
        <v>2017</v>
      </c>
      <c r="D30" s="42">
        <v>130.4</v>
      </c>
    </row>
    <row r="31" spans="2:4" x14ac:dyDescent="0.2">
      <c r="B31" s="11" t="str">
        <v/>
      </c>
      <c r="C31" s="41">
        <v>2018</v>
      </c>
      <c r="D31" s="42">
        <v>133.4</v>
      </c>
    </row>
    <row r="32" spans="2:4" x14ac:dyDescent="0.2">
      <c r="B32" s="11" t="str">
        <v/>
      </c>
      <c r="C32" s="41">
        <v>2019</v>
      </c>
      <c r="D32" s="42">
        <v>136</v>
      </c>
    </row>
    <row r="33" spans="2:6" x14ac:dyDescent="0.2">
      <c r="B33" s="11" t="str">
        <v/>
      </c>
      <c r="C33" s="41">
        <v>2020</v>
      </c>
      <c r="D33" s="42">
        <v>137</v>
      </c>
    </row>
    <row r="34" spans="2:6" x14ac:dyDescent="0.2">
      <c r="B34" s="11" t="str">
        <v/>
      </c>
      <c r="C34" s="41">
        <v>2021</v>
      </c>
      <c r="D34" s="42">
        <v>141.6</v>
      </c>
    </row>
    <row r="35" spans="2:6" x14ac:dyDescent="0.2">
      <c r="B35" s="11" t="str">
        <v/>
      </c>
      <c r="C35" s="41">
        <v>2022</v>
      </c>
      <c r="D35" s="42">
        <v>151.19999999999999</v>
      </c>
    </row>
    <row r="36" spans="2:6" x14ac:dyDescent="0.2">
      <c r="B36" s="11" t="str">
        <v/>
      </c>
      <c r="C36" s="41">
        <v>2023</v>
      </c>
      <c r="D36" s="42">
        <v>157.1</v>
      </c>
    </row>
    <row r="37" spans="2:6" x14ac:dyDescent="0.2">
      <c r="B37" s="11" t="str">
        <v/>
      </c>
      <c r="C37" s="43">
        <v>2024</v>
      </c>
      <c r="D37" s="44">
        <v>160.9</v>
      </c>
      <c r="F37" s="221"/>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G544"/>
  <sheetViews>
    <sheetView zoomScale="90" zoomScaleNormal="90" workbookViewId="0"/>
  </sheetViews>
  <sheetFormatPr defaultColWidth="8.6640625" defaultRowHeight="14.4" x14ac:dyDescent="0.3"/>
  <cols>
    <col min="1" max="1" width="13.44140625" style="19" customWidth="1"/>
    <col min="2" max="2" width="23.109375" style="19" customWidth="1"/>
    <col min="3" max="3" width="22.109375" style="19" customWidth="1"/>
    <col min="4" max="4" width="11.44140625" style="19" customWidth="1"/>
    <col min="5" max="5" width="8.33203125" style="19" customWidth="1"/>
    <col min="6" max="6" width="9.6640625" style="19" customWidth="1"/>
    <col min="7" max="7" width="13.44140625" style="19" customWidth="1"/>
    <col min="8" max="8" width="23" style="19" customWidth="1"/>
    <col min="9" max="9" width="12.5546875" style="240" customWidth="1"/>
    <col min="10" max="11" width="20.6640625" style="234" customWidth="1"/>
    <col min="12" max="12" width="20.44140625" style="234" customWidth="1"/>
    <col min="13" max="13" width="15" style="236" customWidth="1"/>
    <col min="14" max="14" width="20.109375" style="236" customWidth="1"/>
    <col min="15" max="15" width="18.88671875" style="236" customWidth="1"/>
    <col min="16" max="16" width="17" style="236" customWidth="1"/>
    <col min="17" max="17" width="18.5546875" style="236" customWidth="1"/>
    <col min="18" max="18" width="18.33203125" style="236" customWidth="1"/>
    <col min="19" max="20" width="17.109375" style="236" customWidth="1"/>
    <col min="21" max="21" width="16.5546875" style="236" customWidth="1"/>
    <col min="22" max="22" width="17.109375" style="236" customWidth="1"/>
    <col min="23" max="23" width="17.44140625" style="236" customWidth="1"/>
    <col min="24" max="24" width="19.5546875" style="236" customWidth="1"/>
    <col min="25" max="25" width="12.5546875" customWidth="1"/>
    <col min="26" max="26" width="26.109375" style="19" customWidth="1"/>
    <col min="27" max="27" width="23.88671875" customWidth="1"/>
    <col min="28" max="28" width="11.88671875" customWidth="1"/>
    <col min="29" max="29" width="13.44140625" customWidth="1"/>
    <col min="30" max="32" width="18" customWidth="1"/>
    <col min="33" max="33" width="14.5546875" customWidth="1"/>
  </cols>
  <sheetData>
    <row r="1" spans="1:33" s="6" customFormat="1" ht="119.25" customHeight="1" x14ac:dyDescent="0.3">
      <c r="A1" s="121" t="s">
        <v>185</v>
      </c>
      <c r="B1" s="122" t="s">
        <v>186</v>
      </c>
      <c r="C1" s="122" t="s">
        <v>187</v>
      </c>
      <c r="D1" s="122" t="s">
        <v>188</v>
      </c>
      <c r="E1" s="122" t="s">
        <v>183</v>
      </c>
      <c r="F1" s="122" t="s">
        <v>189</v>
      </c>
      <c r="G1" s="122" t="s">
        <v>190</v>
      </c>
      <c r="H1" s="122" t="s">
        <v>191</v>
      </c>
      <c r="I1" s="238" t="s">
        <v>63</v>
      </c>
      <c r="J1" s="241" t="s">
        <v>192</v>
      </c>
      <c r="K1" s="241" t="s">
        <v>193</v>
      </c>
      <c r="L1" s="241" t="s">
        <v>194</v>
      </c>
      <c r="M1" s="237" t="str">
        <f>"Cost Per Event ("&amp;PriceYear&amp;" CAD)"</f>
        <v>Cost Per Event (2024 CAD)</v>
      </c>
      <c r="N1" s="235" t="s">
        <v>195</v>
      </c>
      <c r="O1" s="235" t="s">
        <v>196</v>
      </c>
      <c r="P1" s="235" t="s">
        <v>197</v>
      </c>
      <c r="Q1" s="237" t="s">
        <v>198</v>
      </c>
      <c r="R1" s="237" t="s">
        <v>199</v>
      </c>
      <c r="S1" s="237" t="s">
        <v>200</v>
      </c>
      <c r="T1" s="237" t="s">
        <v>201</v>
      </c>
      <c r="U1" s="237" t="s">
        <v>202</v>
      </c>
      <c r="V1" s="237" t="s">
        <v>203</v>
      </c>
      <c r="W1" s="237" t="s">
        <v>204</v>
      </c>
      <c r="X1" s="237" t="s">
        <v>205</v>
      </c>
      <c r="Y1"/>
      <c r="Z1" s="4" t="s">
        <v>206</v>
      </c>
      <c r="AA1" s="3" t="s">
        <v>207</v>
      </c>
      <c r="AB1" s="3" t="s">
        <v>208</v>
      </c>
      <c r="AC1" s="3" t="s">
        <v>209</v>
      </c>
      <c r="AD1" s="3" t="s">
        <v>210</v>
      </c>
      <c r="AE1" s="3" t="s">
        <v>211</v>
      </c>
      <c r="AF1" s="3" t="s">
        <v>212</v>
      </c>
      <c r="AG1" s="63"/>
    </row>
    <row r="2" spans="1:33" x14ac:dyDescent="0.3">
      <c r="A2" s="19" t="str" cm="1">
        <f t="array" ref="A2">repeat(Periods, ActivityNumber)</f>
        <v/>
      </c>
      <c r="B2" s="19" t="str" cm="1">
        <f t="array" ref="B2">IFERROR(INDEX(tbl_Activities[Activity],_xlfn.ANCHORARRAY( A2)), "")</f>
        <v/>
      </c>
      <c r="C2" s="19" t="str" cm="1">
        <f t="array" ref="C2">IFERROR(INDEX(tbl_Activities[Administrative or Compliance],_xlfn.ANCHORARRAY( A2)), "")</f>
        <v/>
      </c>
      <c r="D2" s="19" t="str" cm="1">
        <f t="array" ref="D2">IFERROR(INDEX(tbl_Activities[Cost or Benefit],_xlfn.ANCHORARRAY( A2)), "")</f>
        <v/>
      </c>
      <c r="E2" s="19" t="str" cm="1">
        <f t="array" ref="E2">IFERROR(
IF(_xlfn.ANCHORARRAY(Z2)="Start of Analytical Period", YoR,
IF(_xlfn.ANCHORARRAY(Z2)="End of Analytical Period", YoR+Time-1,_xlfn.ANCHORARRAY(
Z2)))
+ _xlfn.LET(_xlpm.x,_xlfn.ANCHORARRAY( F2)/_xlfn.BYROW(_xlfn.ANCHORARRAY(G2), _xlfn.LAMBDA(_xlpm.row, MAX(_xlpm.row, 1)))-1, ROUNDUP(IF(_xlpm.x&lt;0, 0, _xlpm.x), 0)), "")</f>
        <v/>
      </c>
      <c r="F2" s="120"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20" t="str" cm="1">
        <f t="array" ref="G2">IFERROR(IF(INDEX(tbl_Activities[Upfront or  Ongoing],_xlfn.ANCHORARRAY( A2))="Ongoing", INDEX(tbl_Activities[Annual Frequency],_xlfn.ANCHORARRAY( A2)), 1), "")</f>
        <v/>
      </c>
      <c r="H2" s="19" t="str" cm="1">
        <f t="array" ref="H2">IFERROR(INDEX(tbl_Activities[Affected Stakeholder Group],_xlfn.ANCHORARRAY( A2)), "")</f>
        <v/>
      </c>
      <c r="I2" s="239" t="str" cm="1">
        <f t="array" ref="I2">IFERROR(INDEX(tbl_Activities[Percent Affected],_xlfn.ANCHORARRAY( A2)), "")</f>
        <v/>
      </c>
      <c r="J2" s="233" cm="1">
        <f t="array" ref="J2">_xlfn.MAKEARRAY(OutputRows, 1, _xlfn.LAMBDA(_xlpm.r,_xlpm.c,
IF(INDEX(_xlfn.ANCHORARRAY(AA2), _xlpm.r)="All Businesses", 0, IF(INDEX(_xlfn.ANCHORARRAY(AA2), _xlpm.r)="Med/Large Businesses", 0, IF(INDEX(_xlfn.ANCHORARRAY(AA2), _xlpm.r)="Small 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2)="Non-business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_xlfn.SEQUENCE(INDEX(_xlfn.ANCHORARRAY(E2), _xlpm.r)-YoR+1))&gt;=0, 1, 1+INDEX(_xlpm.ne, 1, _xlfn.SEQUENCE(INDEX(_xlfn.ANCHORARRAY(E2), _xlpm.r)-YoR+1))/INDEX(_xlpm.sc, 1, _xlfn.SEQUENCE(INDEX(_xlfn.ANCHORARRAY(E2), _xlpm.r)-YoR+1))),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K2" s="233" cm="1">
        <f t="array" ref="K2">_xlfn.MAKEARRAY(OutputRows, 1, _xlfn.LAMBDA(_xlpm.r,_xlpm.c,
IF(INDEX(_xlfn.ANCHORARRAY(AA2), _xlpm.r)="Med/Large Businesses", 0, IF(INDEX(_xlfn.ANCHORARRAY(AA2), _xlpm.r)="All Non-Businesses", 0,
IFERROR(
INDEX(_xlfn.ANCHORARRAY(I2), _xlpm.r)*
_xlfn.LET(
_xlpm.at, INDEX(_xlfn.ANCHORARRAY(AB2), _xlpm.r),
_xlpm.period, INDEX(_xlfn.ANCHORARRAY(F2), _xlpm.r),
_xlpm.freq, INDEX(_xlfn.ANCHORARRAY(G2), _xlpm.r),
IF(INDEX(tbl_Stakeholders[Automatic or Manual Growth], MATCH(INDEX(_xlfn.ANCHORARRAY(H2), _xlpm.r), tbl_Stakeholders[Stakeholder Group], 0))&lt;&gt;"Manual",
_xlfn.LET(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2)="Small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_xlfn.SEQUENCE(INDEX(_xlfn.ANCHORARRAY(E2), _xlpm.r)-YoR+1))&gt;=0, 1, 1+INDEX(_xlpm.ne, 1, _xlfn.SEQUENCE(INDEX(_xlfn.ANCHORARRAY(E2), _xlpm.r)-YoR+1))/INDEX(_xlpm.sc, 1, _xlfn.SEQUENCE(INDEX(_xlfn.ANCHORARRAY(E2), _xlpm.r)-YoR+1))),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L2" s="5" cm="1">
        <f t="array" ref="L2">_xlfn.MAKEARRAY(OutputRows, 1, _xlfn.LAMBDA(_xlpm.r,_xlpm.c, IF(INDEX(_xlfn.ANCHORARRAY(AA2), _xlpm.r)="Small Businesses", 0, IF(INDEX(_xlfn.ANCHORARRAY(AA2), _xlpm.r)="All Non-Businesses",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IF(_xlpm.freq&lt;1,
     _xlfn.LET(_xlpm.mod, MOD(_xlfn.SEQUENCE(_xlpm.period)+1/_xlpm.freq-1, 1/_xlpm.freq),
     IF(_xlpm.at=1, _xlfn.LET(_xlpm.c,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_xlfn.LET(_xlpm.yr, _xlfn.HSTACK(0, 0, YoR, _xlfn.SEQUENCE(1, Time, YoR)),
_xlpm.Smatch, MATCH(1, (INDEX(tbl_Msc,, 1)=INDEX(_xlfn.ANCHORARRAY(H2), _xlpm.r))*(INDEX(tbl_Msc,, 2)="Med/Large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_xlfn.SEQUENCE(INDEX(_xlfn.ANCHORARRAY(E2), _xlpm.r)-YoR+1))&gt;=0, 1, 1+INDEX(_xlpm.ne, 1, _xlfn.SEQUENCE(INDEX(_xlfn.ANCHORARRAY(E2), _xlpm.r)-YoR+1))/INDEX(_xlpm.sc, 1, _xlfn.SEQUENCE(INDEX(_xlfn.ANCHORARRAY(E2), _xlpm.r)-YoR+1))),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0)))))</f>
        <v>0</v>
      </c>
      <c r="M2" s="236"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236" cm="1">
        <f t="array" ref="N2">IFERROR(_xlfn.ANCHORARRAY($M$2)*_xlfn.ANCHORARRAY(J2), 0)</f>
        <v>0</v>
      </c>
      <c r="O2" s="236" cm="1">
        <f t="array" ref="O2">IFERROR(_xlfn.ANCHORARRAY($M$2)*_xlfn.ANCHORARRAY(K2), 0)</f>
        <v>0</v>
      </c>
      <c r="P2" s="236" cm="1">
        <f t="array" ref="P2">IFERROR(_xlfn.ANCHORARRAY($M$2)*_xlfn.ANCHORARRAY(L2), 0)</f>
        <v>0</v>
      </c>
      <c r="Q2" s="236" cm="1">
        <f t="array" ref="Q2">IFERROR(_xlfn.ANCHORARRAY($O$2)+_xlfn.ANCHORARRAY($P$2),0)</f>
        <v>0</v>
      </c>
      <c r="R2" s="236" cm="1">
        <f t="array" ref="R2">IFERROR(_xlfn.ANCHORARRAY($Q$2)+_xlfn.ANCHORARRAY($N$2), 0)</f>
        <v>0</v>
      </c>
      <c r="S2" s="236" cm="1">
        <f t="array" ref="S2">IFERROR(_xlfn.ANCHORARRAY($N$2)/(1+Discount)^_xlfn.ANCHORARRAY($AE$2),0)</f>
        <v>0</v>
      </c>
      <c r="T2" s="236" cm="1">
        <f t="array" ref="T2">IFERROR(_xlfn.ANCHORARRAY($O$2)/(1+Discount)^_xlfn.ANCHORARRAY($AE$2),0)</f>
        <v>0</v>
      </c>
      <c r="U2" s="236" cm="1">
        <f t="array" ref="U2">IFERROR(_xlfn.ANCHORARRAY(P2)/(1+Discount)^_xlfn.ANCHORARRAY($AE$2),0)</f>
        <v>0</v>
      </c>
      <c r="V2" s="236" cm="1">
        <f t="array" ref="V2">IFERROR(_xlfn.ANCHORARRAY($T$2)+_xlfn.ANCHORARRAY($U$2), 0)</f>
        <v>0</v>
      </c>
      <c r="W2" s="236" cm="1">
        <f t="array" ref="W2">IFERROR(_xlfn.ANCHORARRAY($V$2)+_xlfn.ANCHORARRAY($S$2), 0)</f>
        <v>0</v>
      </c>
      <c r="X2" s="236" cm="1">
        <f t="array" ref="X2">IFERROR(--(_xlfn.ANCHORARRAY($C$2)="Administrative")*(_xlfn.ANCHORARRAY($O$2)+_xlfn.ANCHORARRAY($P$2))/(1.07)^_xlfn.ANCHORARRAY($AE$2), 0)</f>
        <v>0</v>
      </c>
      <c r="Y2" s="2"/>
      <c r="Z2" s="19" t="str" cm="1">
        <f t="array" ref="Z2">IFERROR(INDEX(tbl_Activities[Start Year],_xlfn.ANCHORARRAY( $A$2)), "")</f>
        <v/>
      </c>
      <c r="AA2" t="str" cm="1">
        <f t="array" ref="AA2">IFERROR(INDEX(tbl_Activities[Affected Stakeholder Type],_xlfn.ANCHORARRAY( A2)), "")</f>
        <v/>
      </c>
      <c r="AB2" s="68" t="str" cm="1">
        <f t="array" ref="AB2">IFERROR(INDEX(ActivityType,_xlfn.ANCHORARRAY( A2)), "")</f>
        <v/>
      </c>
      <c r="AC2" s="68" t="str" cm="1">
        <f t="array" ref="AC2">IFERROR(
_xlfn.LET(_xlpm.x,_xlfn.ANCHORARRAY( F2)/_xlfn.BYROW(_xlfn.ANCHORARRAY(G2), _xlfn.LAMBDA(_xlpm.row, MAX(_xlpm.row, 1))),
IF(_xlfn.ANCHORARRAY(Z2)="Start of Analytical Period", _xlpm.x,
IF(_xlfn.ANCHORARRAY(Z2)="End of Analytical Period", Time-1+_xlpm.x,_xlfn.ANCHORARRAY(
Z2)-YoR+_xlpm.x))),
"")</f>
        <v/>
      </c>
      <c r="AD2" s="68" t="str" cm="1">
        <f t="array" ref="AD2">IFERROR(
IF(_xlfn.ANCHORARRAY(Z2)="Start of Analytical Period", 0,
IF(_xlfn.ANCHORARRAY(Z2)="End of Analytical Period", Time-1,_xlfn.ANCHORARRAY(
Z2)-YoR)),
"")</f>
        <v/>
      </c>
      <c r="AE2" s="68" t="str" cm="1">
        <f t="array" ref="AE2">IFERROR(
_xlfn.LET(_xlpm.x,_xlfn.ANCHORARRAY( $F$2)/_xlfn.BYROW(_xlfn.ANCHORARRAY($G$2), _xlfn.LAMBDA(_xlpm.row, MAX(_xlpm.row, 1))),
IF(_xlfn.ANCHORARRAY(Z2)="Start of Analytical Period", (YoR-PVBaseYear)+_xlpm.x,
IF(_xlfn.ANCHORARRAY(Z2)="End of Analytical Period", (YoR-PVBaseYear)+Time-1+_xlpm.x,_xlfn.ANCHORARRAY(
Z2)-PVBaseYear+_xlpm.x))),
"")</f>
        <v/>
      </c>
      <c r="AF2" s="68" t="str" cm="1">
        <f t="array" ref="AF2">_xlfn.LET(
_xlpm.FilteredStakeholders, _xlfn._xlws.FILTER(tbl_Stakeholders[Stakeholder Group], tbl_Stakeholders[Stakeholder Group]&lt;&gt;""),
IFERROR(MATCH(INDEX(tbl_Activities[Affected Stakeholder Group],_xlfn.ANCHORARRAY( $A$2)), _xlpm.FilteredStakeholders, 0), ""))</f>
        <v/>
      </c>
    </row>
    <row r="3" spans="1:33" x14ac:dyDescent="0.3">
      <c r="F3" s="120"/>
      <c r="G3" s="120"/>
      <c r="I3" s="239"/>
      <c r="J3" s="233"/>
      <c r="K3" s="233"/>
      <c r="L3" s="5"/>
      <c r="AB3" s="68"/>
      <c r="AC3" s="68"/>
      <c r="AD3" s="68"/>
      <c r="AE3" s="68"/>
      <c r="AF3" s="68"/>
    </row>
    <row r="4" spans="1:33" x14ac:dyDescent="0.3">
      <c r="F4" s="120"/>
      <c r="G4" s="120"/>
      <c r="I4" s="239"/>
      <c r="J4" s="233"/>
      <c r="K4" s="233"/>
      <c r="L4" s="5"/>
      <c r="AB4" s="68"/>
      <c r="AC4" s="68"/>
      <c r="AD4" s="68"/>
      <c r="AE4" s="68"/>
      <c r="AF4" s="68"/>
    </row>
    <row r="5" spans="1:33" x14ac:dyDescent="0.3">
      <c r="F5" s="120"/>
      <c r="G5" s="120"/>
      <c r="I5" s="239"/>
      <c r="J5" s="233"/>
      <c r="K5" s="233"/>
      <c r="L5" s="5"/>
      <c r="AB5" s="68"/>
      <c r="AC5" s="68"/>
      <c r="AD5" s="68"/>
      <c r="AE5" s="68"/>
      <c r="AF5" s="68"/>
    </row>
    <row r="6" spans="1:33" x14ac:dyDescent="0.3">
      <c r="F6" s="120"/>
      <c r="G6" s="120"/>
      <c r="I6" s="239"/>
      <c r="J6" s="233"/>
      <c r="K6" s="233"/>
      <c r="L6" s="5"/>
      <c r="AA6" s="123"/>
      <c r="AB6" s="68"/>
      <c r="AC6" s="68"/>
      <c r="AD6" s="68"/>
      <c r="AE6" s="68"/>
      <c r="AF6" s="68"/>
    </row>
    <row r="7" spans="1:33" x14ac:dyDescent="0.3">
      <c r="L7" s="5"/>
      <c r="AB7" s="68"/>
      <c r="AC7" s="68"/>
      <c r="AD7" s="68"/>
      <c r="AE7" s="68"/>
      <c r="AF7" s="68"/>
    </row>
    <row r="8" spans="1:33" x14ac:dyDescent="0.3">
      <c r="F8" s="120"/>
      <c r="G8" s="120"/>
      <c r="I8" s="239"/>
      <c r="J8" s="233"/>
      <c r="K8" s="233"/>
      <c r="L8" s="5"/>
      <c r="AB8" s="68"/>
      <c r="AC8" s="68"/>
      <c r="AD8" s="68"/>
      <c r="AE8" s="68"/>
      <c r="AF8" s="68"/>
    </row>
    <row r="9" spans="1:33" x14ac:dyDescent="0.3">
      <c r="F9" s="120"/>
      <c r="G9" s="120"/>
      <c r="I9" s="239"/>
      <c r="J9" s="233"/>
      <c r="K9" s="233"/>
      <c r="L9" s="5"/>
      <c r="AB9" s="68"/>
      <c r="AC9" s="68"/>
      <c r="AD9" s="68"/>
      <c r="AE9" s="68"/>
      <c r="AF9" s="68"/>
    </row>
    <row r="10" spans="1:33" x14ac:dyDescent="0.3">
      <c r="F10" s="120"/>
      <c r="G10" s="120"/>
      <c r="I10" s="239"/>
      <c r="J10" s="233"/>
      <c r="K10" s="233"/>
      <c r="L10" s="5"/>
      <c r="AB10" s="68"/>
      <c r="AC10" s="68"/>
      <c r="AD10" s="68"/>
      <c r="AE10" s="68"/>
      <c r="AF10" s="68"/>
    </row>
    <row r="11" spans="1:33" x14ac:dyDescent="0.3">
      <c r="F11" s="120"/>
      <c r="G11" s="120"/>
      <c r="I11" s="239"/>
      <c r="J11" s="233"/>
      <c r="K11" s="233"/>
      <c r="L11" s="5"/>
      <c r="AB11" s="68"/>
      <c r="AC11" s="68"/>
      <c r="AD11" s="68"/>
      <c r="AE11" s="68"/>
      <c r="AF11" s="68"/>
    </row>
    <row r="12" spans="1:33" x14ac:dyDescent="0.3">
      <c r="L12" s="5"/>
      <c r="AB12" s="68"/>
      <c r="AC12" s="68"/>
      <c r="AD12" s="68"/>
      <c r="AE12" s="68"/>
      <c r="AF12" s="68"/>
    </row>
    <row r="13" spans="1:33" x14ac:dyDescent="0.3">
      <c r="AB13" s="68"/>
      <c r="AC13" s="68"/>
      <c r="AD13" s="68"/>
      <c r="AE13" s="68"/>
      <c r="AF13" s="68"/>
    </row>
    <row r="14" spans="1:33" x14ac:dyDescent="0.3">
      <c r="AB14" s="68"/>
      <c r="AC14" s="68"/>
      <c r="AD14" s="68"/>
      <c r="AE14" s="68"/>
      <c r="AF14" s="68"/>
    </row>
    <row r="15" spans="1:33" x14ac:dyDescent="0.3">
      <c r="AB15" s="68"/>
      <c r="AC15" s="68"/>
      <c r="AD15" s="68"/>
      <c r="AE15" s="68"/>
      <c r="AF15" s="68"/>
    </row>
    <row r="16" spans="1:33" x14ac:dyDescent="0.3">
      <c r="AB16" s="68"/>
      <c r="AC16" s="68"/>
      <c r="AD16" s="68"/>
      <c r="AE16" s="68"/>
      <c r="AF16" s="68"/>
    </row>
    <row r="17" spans="10:32" x14ac:dyDescent="0.3">
      <c r="AB17" s="68"/>
      <c r="AC17" s="68"/>
      <c r="AD17" s="68"/>
      <c r="AE17" s="68"/>
      <c r="AF17" s="68"/>
    </row>
    <row r="18" spans="10:32" x14ac:dyDescent="0.3">
      <c r="AB18" s="68"/>
      <c r="AC18" s="68"/>
      <c r="AD18" s="68"/>
      <c r="AE18" s="68"/>
      <c r="AF18" s="68"/>
    </row>
    <row r="19" spans="10:32" x14ac:dyDescent="0.3">
      <c r="AB19" s="68"/>
      <c r="AC19" s="68"/>
      <c r="AD19" s="68"/>
      <c r="AE19" s="68"/>
      <c r="AF19" s="68"/>
    </row>
    <row r="20" spans="10:32" x14ac:dyDescent="0.3">
      <c r="J20" s="233"/>
      <c r="AB20" s="68"/>
      <c r="AC20" s="68"/>
      <c r="AD20" s="68"/>
      <c r="AE20" s="68"/>
      <c r="AF20" s="68"/>
    </row>
    <row r="21" spans="10:32" x14ac:dyDescent="0.3">
      <c r="AB21" s="68"/>
      <c r="AC21" s="68"/>
      <c r="AD21" s="68"/>
      <c r="AE21" s="68"/>
      <c r="AF21" s="68"/>
    </row>
    <row r="22" spans="10:32" x14ac:dyDescent="0.3">
      <c r="AB22" s="68"/>
      <c r="AC22" s="68"/>
      <c r="AD22" s="68"/>
      <c r="AE22" s="68"/>
      <c r="AF22" s="68"/>
    </row>
    <row r="23" spans="10:32" x14ac:dyDescent="0.3">
      <c r="AB23" s="68"/>
      <c r="AC23" s="68"/>
      <c r="AD23" s="68"/>
      <c r="AE23" s="68"/>
      <c r="AF23" s="68"/>
    </row>
    <row r="24" spans="10:32" x14ac:dyDescent="0.3">
      <c r="AB24" s="68"/>
      <c r="AC24" s="68"/>
      <c r="AD24" s="68"/>
      <c r="AE24" s="68"/>
      <c r="AF24" s="68"/>
    </row>
    <row r="25" spans="10:32" x14ac:dyDescent="0.3">
      <c r="AB25" s="68"/>
      <c r="AC25" s="68"/>
      <c r="AD25" s="68"/>
      <c r="AE25" s="68"/>
      <c r="AF25" s="68"/>
    </row>
    <row r="26" spans="10:32" x14ac:dyDescent="0.3">
      <c r="AB26" s="68"/>
      <c r="AC26" s="68"/>
      <c r="AD26" s="68"/>
      <c r="AE26" s="68"/>
      <c r="AF26" s="68"/>
    </row>
    <row r="27" spans="10:32" x14ac:dyDescent="0.3">
      <c r="AB27" s="68"/>
      <c r="AC27" s="68"/>
      <c r="AD27" s="68"/>
      <c r="AE27" s="68"/>
      <c r="AF27" s="68"/>
    </row>
    <row r="28" spans="10:32" x14ac:dyDescent="0.3">
      <c r="AB28" s="68"/>
      <c r="AC28" s="68"/>
      <c r="AD28" s="68"/>
      <c r="AE28" s="68"/>
      <c r="AF28" s="68"/>
    </row>
    <row r="29" spans="10:32" x14ac:dyDescent="0.3">
      <c r="AB29" s="68"/>
      <c r="AC29" s="68"/>
      <c r="AD29" s="68"/>
      <c r="AE29" s="68"/>
      <c r="AF29" s="68"/>
    </row>
    <row r="30" spans="10:32" x14ac:dyDescent="0.3">
      <c r="AB30" s="68"/>
      <c r="AC30" s="68"/>
      <c r="AD30" s="68"/>
      <c r="AE30" s="68"/>
      <c r="AF30" s="68"/>
    </row>
    <row r="31" spans="10:32" x14ac:dyDescent="0.3">
      <c r="AB31" s="68"/>
      <c r="AC31" s="68"/>
      <c r="AD31" s="68"/>
      <c r="AE31" s="68"/>
      <c r="AF31" s="68"/>
    </row>
    <row r="32" spans="10:32" x14ac:dyDescent="0.3">
      <c r="AB32" s="68"/>
      <c r="AC32" s="68"/>
      <c r="AD32" s="68"/>
      <c r="AE32" s="68"/>
      <c r="AF32" s="68"/>
    </row>
    <row r="33" spans="28:32" x14ac:dyDescent="0.3">
      <c r="AB33" s="68"/>
      <c r="AC33" s="68"/>
      <c r="AD33" s="68"/>
      <c r="AE33" s="68"/>
      <c r="AF33" s="68"/>
    </row>
    <row r="34" spans="28:32" x14ac:dyDescent="0.3">
      <c r="AB34" s="68"/>
      <c r="AC34" s="68"/>
      <c r="AD34" s="68"/>
      <c r="AE34" s="68"/>
      <c r="AF34" s="68"/>
    </row>
    <row r="35" spans="28:32" x14ac:dyDescent="0.3">
      <c r="AB35" s="68"/>
      <c r="AC35" s="68"/>
      <c r="AD35" s="68"/>
      <c r="AE35" s="68"/>
      <c r="AF35" s="68"/>
    </row>
    <row r="36" spans="28:32" x14ac:dyDescent="0.3">
      <c r="AB36" s="68"/>
      <c r="AC36" s="68"/>
      <c r="AD36" s="68"/>
      <c r="AE36" s="68"/>
      <c r="AF36" s="68"/>
    </row>
    <row r="37" spans="28:32" x14ac:dyDescent="0.3">
      <c r="AB37" s="68"/>
      <c r="AC37" s="68"/>
      <c r="AD37" s="68"/>
      <c r="AE37" s="68"/>
      <c r="AF37" s="68"/>
    </row>
    <row r="38" spans="28:32" x14ac:dyDescent="0.3">
      <c r="AB38" s="68"/>
      <c r="AC38" s="68"/>
      <c r="AD38" s="68"/>
      <c r="AE38" s="68"/>
      <c r="AF38" s="68"/>
    </row>
    <row r="39" spans="28:32" x14ac:dyDescent="0.3">
      <c r="AB39" s="68"/>
      <c r="AC39" s="68"/>
      <c r="AD39" s="68"/>
      <c r="AE39" s="68"/>
      <c r="AF39" s="68"/>
    </row>
    <row r="40" spans="28:32" x14ac:dyDescent="0.3">
      <c r="AB40" s="68"/>
      <c r="AC40" s="68"/>
      <c r="AD40" s="68"/>
      <c r="AE40" s="68"/>
      <c r="AF40" s="68"/>
    </row>
    <row r="41" spans="28:32" x14ac:dyDescent="0.3">
      <c r="AB41" s="68"/>
      <c r="AC41" s="68"/>
      <c r="AD41" s="68"/>
      <c r="AE41" s="68"/>
      <c r="AF41" s="68"/>
    </row>
    <row r="42" spans="28:32" x14ac:dyDescent="0.3">
      <c r="AB42" s="68"/>
      <c r="AC42" s="68"/>
      <c r="AD42" s="68"/>
      <c r="AE42" s="68"/>
      <c r="AF42" s="68"/>
    </row>
    <row r="43" spans="28:32" x14ac:dyDescent="0.3">
      <c r="AB43" s="68"/>
      <c r="AC43" s="68"/>
      <c r="AD43" s="68"/>
      <c r="AE43" s="68"/>
      <c r="AF43" s="68"/>
    </row>
    <row r="44" spans="28:32" x14ac:dyDescent="0.3">
      <c r="AB44" s="68"/>
      <c r="AC44" s="68"/>
      <c r="AD44" s="68"/>
      <c r="AE44" s="68"/>
      <c r="AF44" s="68"/>
    </row>
    <row r="45" spans="28:32" x14ac:dyDescent="0.3">
      <c r="AB45" s="68"/>
      <c r="AC45" s="68"/>
      <c r="AD45" s="68"/>
      <c r="AE45" s="68"/>
      <c r="AF45" s="68"/>
    </row>
    <row r="46" spans="28:32" x14ac:dyDescent="0.3">
      <c r="AB46" s="68"/>
      <c r="AC46" s="68"/>
      <c r="AD46" s="68"/>
      <c r="AE46" s="68"/>
      <c r="AF46" s="68"/>
    </row>
    <row r="47" spans="28:32" x14ac:dyDescent="0.3">
      <c r="AB47" s="68"/>
      <c r="AC47" s="68"/>
      <c r="AD47" s="68"/>
      <c r="AE47" s="68"/>
      <c r="AF47" s="68"/>
    </row>
    <row r="48" spans="28:32" x14ac:dyDescent="0.3">
      <c r="AB48" s="68"/>
      <c r="AC48" s="68"/>
      <c r="AD48" s="68"/>
      <c r="AE48" s="68"/>
      <c r="AF48" s="68"/>
    </row>
    <row r="49" spans="28:32" x14ac:dyDescent="0.3">
      <c r="AB49" s="68"/>
      <c r="AC49" s="68"/>
      <c r="AD49" s="68"/>
      <c r="AE49" s="68"/>
      <c r="AF49" s="68"/>
    </row>
    <row r="50" spans="28:32" x14ac:dyDescent="0.3">
      <c r="AB50" s="68"/>
      <c r="AC50" s="68"/>
      <c r="AD50" s="68"/>
      <c r="AE50" s="68"/>
      <c r="AF50" s="68"/>
    </row>
    <row r="51" spans="28:32" x14ac:dyDescent="0.3">
      <c r="AB51" s="68"/>
      <c r="AC51" s="68"/>
      <c r="AD51" s="68"/>
      <c r="AE51" s="68"/>
      <c r="AF51" s="68"/>
    </row>
    <row r="52" spans="28:32" x14ac:dyDescent="0.3">
      <c r="AB52" s="68"/>
      <c r="AC52" s="68"/>
      <c r="AD52" s="68"/>
      <c r="AE52" s="68"/>
      <c r="AF52" s="68"/>
    </row>
    <row r="53" spans="28:32" x14ac:dyDescent="0.3">
      <c r="AB53" s="68"/>
      <c r="AC53" s="68"/>
      <c r="AD53" s="68"/>
      <c r="AE53" s="68"/>
      <c r="AF53" s="68"/>
    </row>
    <row r="54" spans="28:32" x14ac:dyDescent="0.3">
      <c r="AB54" s="68"/>
      <c r="AC54" s="68"/>
      <c r="AD54" s="68"/>
      <c r="AE54" s="68"/>
      <c r="AF54" s="68"/>
    </row>
    <row r="55" spans="28:32" x14ac:dyDescent="0.3">
      <c r="AB55" s="68"/>
      <c r="AC55" s="68"/>
      <c r="AD55" s="68"/>
      <c r="AE55" s="68"/>
      <c r="AF55" s="68"/>
    </row>
    <row r="56" spans="28:32" x14ac:dyDescent="0.3">
      <c r="AB56" s="68"/>
      <c r="AC56" s="68"/>
      <c r="AD56" s="68"/>
      <c r="AE56" s="68"/>
      <c r="AF56" s="68"/>
    </row>
    <row r="57" spans="28:32" x14ac:dyDescent="0.3">
      <c r="AB57" s="68"/>
      <c r="AC57" s="68"/>
      <c r="AD57" s="68"/>
      <c r="AE57" s="68"/>
      <c r="AF57" s="68"/>
    </row>
    <row r="58" spans="28:32" x14ac:dyDescent="0.3">
      <c r="AB58" s="68"/>
      <c r="AC58" s="68"/>
      <c r="AD58" s="68"/>
      <c r="AE58" s="68"/>
      <c r="AF58" s="68"/>
    </row>
    <row r="59" spans="28:32" x14ac:dyDescent="0.3">
      <c r="AB59" s="68"/>
      <c r="AC59" s="68"/>
      <c r="AD59" s="68"/>
      <c r="AE59" s="68"/>
      <c r="AF59" s="68"/>
    </row>
    <row r="60" spans="28:32" x14ac:dyDescent="0.3">
      <c r="AB60" s="68"/>
      <c r="AC60" s="68"/>
      <c r="AD60" s="68"/>
      <c r="AE60" s="68"/>
      <c r="AF60" s="68"/>
    </row>
    <row r="61" spans="28:32" x14ac:dyDescent="0.3">
      <c r="AB61" s="68"/>
      <c r="AC61" s="68"/>
      <c r="AD61" s="68"/>
      <c r="AE61" s="68"/>
      <c r="AF61" s="68"/>
    </row>
    <row r="62" spans="28:32" x14ac:dyDescent="0.3">
      <c r="AB62" s="68"/>
      <c r="AC62" s="68"/>
      <c r="AD62" s="68"/>
      <c r="AE62" s="68"/>
      <c r="AF62" s="68"/>
    </row>
    <row r="63" spans="28:32" x14ac:dyDescent="0.3">
      <c r="AB63" s="68"/>
      <c r="AC63" s="68"/>
      <c r="AD63" s="68"/>
      <c r="AE63" s="68"/>
      <c r="AF63" s="68"/>
    </row>
    <row r="64" spans="28:32" x14ac:dyDescent="0.3">
      <c r="AB64" s="68"/>
      <c r="AC64" s="68"/>
      <c r="AD64" s="68"/>
      <c r="AE64" s="68"/>
      <c r="AF64" s="68"/>
    </row>
    <row r="531" spans="12:19" x14ac:dyDescent="0.3">
      <c r="L531" s="5"/>
      <c r="M531" s="2"/>
      <c r="N531" s="2"/>
    </row>
    <row r="532" spans="12:19" x14ac:dyDescent="0.3">
      <c r="L532" s="5"/>
      <c r="M532" s="2"/>
      <c r="N532" s="2"/>
      <c r="O532" s="2"/>
      <c r="P532" s="2"/>
      <c r="Q532" s="2"/>
      <c r="R532" s="2"/>
      <c r="S532" s="2"/>
    </row>
    <row r="533" spans="12:19" x14ac:dyDescent="0.3">
      <c r="L533" s="5"/>
      <c r="M533" s="2"/>
      <c r="N533" s="2"/>
      <c r="O533" s="2"/>
    </row>
    <row r="534" spans="12:19" x14ac:dyDescent="0.3">
      <c r="L534" s="5"/>
      <c r="M534" s="2"/>
      <c r="N534" s="2"/>
      <c r="O534" s="2"/>
    </row>
    <row r="535" spans="12:19" x14ac:dyDescent="0.3">
      <c r="L535" s="5"/>
      <c r="M535" s="2"/>
      <c r="N535" s="2"/>
      <c r="O535" s="2"/>
    </row>
    <row r="536" spans="12:19" x14ac:dyDescent="0.3">
      <c r="L536" s="5"/>
      <c r="M536" s="2"/>
      <c r="N536" s="2"/>
      <c r="O536" s="2"/>
    </row>
    <row r="537" spans="12:19" x14ac:dyDescent="0.3">
      <c r="L537" s="5"/>
      <c r="M537" s="2"/>
      <c r="N537" s="2"/>
      <c r="O537" s="2"/>
    </row>
    <row r="538" spans="12:19" x14ac:dyDescent="0.3">
      <c r="L538" s="5"/>
      <c r="M538" s="2"/>
      <c r="N538" s="2"/>
      <c r="O538" s="2"/>
    </row>
    <row r="539" spans="12:19" x14ac:dyDescent="0.3">
      <c r="L539" s="5"/>
      <c r="M539" s="2"/>
      <c r="N539" s="2"/>
      <c r="O539" s="2"/>
    </row>
    <row r="540" spans="12:19" x14ac:dyDescent="0.3">
      <c r="L540" s="5"/>
      <c r="M540" s="2"/>
      <c r="N540" s="2"/>
      <c r="O540" s="2"/>
    </row>
    <row r="541" spans="12:19" x14ac:dyDescent="0.3">
      <c r="L541" s="5"/>
      <c r="M541" s="2"/>
      <c r="N541" s="2"/>
      <c r="O541" s="2"/>
    </row>
    <row r="542" spans="12:19" x14ac:dyDescent="0.3">
      <c r="L542" s="5"/>
      <c r="M542" s="2"/>
      <c r="N542" s="2"/>
      <c r="O542" s="2"/>
    </row>
    <row r="543" spans="12:19" x14ac:dyDescent="0.3">
      <c r="L543" s="5"/>
      <c r="M543" s="2"/>
      <c r="N543" s="2"/>
      <c r="O543" s="2"/>
    </row>
    <row r="544" spans="12:19" x14ac:dyDescent="0.3">
      <c r="L544" s="5"/>
      <c r="M544" s="2"/>
      <c r="N544" s="2"/>
      <c r="O544" s="2"/>
    </row>
  </sheetData>
  <sheetProtection sheet="1" pivotTables="0"/>
  <conditionalFormatting sqref="I2:I20000">
    <cfRule type="notContainsBlanks" dxfId="2" priority="1">
      <formula>LEN(TRIM(I2))&gt;0</formula>
    </cfRule>
  </conditionalFormatting>
  <conditionalFormatting sqref="M2:X13 O14:X15 M16:X20 O21:X22 M23:X27 O28:X29 M30:X46 M47 O47:X47 M48:X125 Q126:X145 M146:X529 M530:P530 Q530:X549 M545:P549 M550:X20000">
    <cfRule type="notContainsBlanks" dxfId="1" priority="2">
      <formula>LEN(TRIM(M2))&gt;0</formula>
    </cfRule>
  </conditionalFormatting>
  <conditionalFormatting sqref="O531:Q532 P533:R544 J2:K12 J13:L13 J16:L20 J23:L27 J30:L125 J146:L530 J545:L20000">
    <cfRule type="notContainsBlanks" dxfId="0" priority="4">
      <formula>LEN(TRIM(J2))&gt;0</formula>
    </cfRule>
  </conditionalFormatting>
  <dataValidations disablePrompts="1"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A1:BY108"/>
  <sheetViews>
    <sheetView zoomScale="70" zoomScaleNormal="70" zoomScaleSheetLayoutView="86" workbookViewId="0"/>
  </sheetViews>
  <sheetFormatPr defaultColWidth="8.6640625" defaultRowHeight="14.4" x14ac:dyDescent="0.3"/>
  <cols>
    <col min="1" max="1" width="30.5546875" customWidth="1"/>
    <col min="2" max="2" width="21.88671875" customWidth="1"/>
    <col min="3" max="3" width="22.88671875" customWidth="1"/>
    <col min="4" max="4" width="26.109375" customWidth="1"/>
    <col min="5" max="5" width="26.5546875" customWidth="1"/>
    <col min="6" max="6" width="18.5546875" customWidth="1"/>
    <col min="7" max="7" width="25.5546875" bestFit="1" customWidth="1"/>
    <col min="8" max="8" width="27.5546875" customWidth="1"/>
    <col min="9" max="9" width="108.44140625" customWidth="1"/>
    <col min="10" max="10" width="15.88671875" customWidth="1"/>
    <col min="11" max="11" width="11.33203125" customWidth="1"/>
    <col min="12" max="12" width="10.6640625" customWidth="1"/>
    <col min="13" max="13" width="8.5546875" customWidth="1"/>
    <col min="14" max="14" width="18.5546875" customWidth="1"/>
    <col min="15" max="15" width="17.44140625" customWidth="1"/>
    <col min="16" max="16" width="78" customWidth="1"/>
    <col min="17" max="17" width="14.44140625" customWidth="1"/>
    <col min="18" max="18" width="121.44140625" customWidth="1"/>
    <col min="19" max="19" width="25.5546875" customWidth="1"/>
    <col min="20" max="20" width="68.44140625" customWidth="1"/>
    <col min="21" max="21" width="23" customWidth="1"/>
    <col min="23" max="23" width="34" customWidth="1"/>
    <col min="25" max="25" width="15" customWidth="1"/>
    <col min="26" max="26" width="9.44140625" customWidth="1"/>
    <col min="27" max="27" width="15.5546875" customWidth="1"/>
    <col min="28" max="28" width="18.5546875" customWidth="1"/>
    <col min="29" max="29" width="14.88671875" customWidth="1"/>
    <col min="30" max="31" width="14.5546875" customWidth="1"/>
    <col min="32" max="32" width="17.44140625" customWidth="1"/>
    <col min="33" max="34" width="14.5546875" customWidth="1"/>
    <col min="35" max="35" width="36.44140625" customWidth="1"/>
    <col min="37" max="37" width="29.77734375" customWidth="1"/>
    <col min="39" max="39" width="16.44140625" customWidth="1"/>
    <col min="40" max="40" width="34" customWidth="1"/>
    <col min="41" max="41" width="32.5546875" customWidth="1"/>
    <col min="44" max="44" width="134" customWidth="1"/>
    <col min="45" max="45" width="42" customWidth="1"/>
    <col min="46" max="46" width="49.5546875" customWidth="1"/>
    <col min="47" max="47" width="40" customWidth="1"/>
    <col min="48" max="48" width="32.5546875" customWidth="1"/>
    <col min="49" max="49" width="31.5546875" customWidth="1"/>
    <col min="50" max="50" width="51" customWidth="1"/>
    <col min="51" max="51" width="27.109375" customWidth="1"/>
    <col min="52" max="52" width="26.33203125" customWidth="1"/>
    <col min="53" max="53" width="30.5546875" customWidth="1"/>
    <col min="54" max="54" width="32.109375" customWidth="1"/>
    <col min="55" max="55" width="33.5546875" customWidth="1"/>
    <col min="56" max="56" width="31" customWidth="1"/>
    <col min="57" max="57" width="37.5546875" customWidth="1"/>
    <col min="58" max="58" width="88.6640625" customWidth="1"/>
    <col min="59" max="59" width="30.109375" customWidth="1"/>
    <col min="60" max="60" width="55.5546875" customWidth="1"/>
    <col min="61" max="61" width="103.88671875" customWidth="1"/>
    <col min="63" max="63" width="9.88671875" bestFit="1" customWidth="1"/>
    <col min="66" max="66" width="64.5546875" customWidth="1"/>
  </cols>
  <sheetData>
    <row r="1" spans="1:77" ht="57.6" x14ac:dyDescent="0.3">
      <c r="A1" s="54" t="s">
        <v>213</v>
      </c>
      <c r="B1" s="63" t="s">
        <v>214</v>
      </c>
      <c r="C1" s="63" t="s">
        <v>215</v>
      </c>
      <c r="D1" s="63" t="s">
        <v>216</v>
      </c>
      <c r="E1" s="63" t="s">
        <v>217</v>
      </c>
      <c r="F1" s="63" t="s">
        <v>218</v>
      </c>
      <c r="G1" s="63" t="s">
        <v>219</v>
      </c>
      <c r="H1" s="65" t="s">
        <v>220</v>
      </c>
      <c r="I1" s="64" t="s">
        <v>221</v>
      </c>
      <c r="J1" s="6" t="str">
        <f>tbl_Wages[[#Headers],[Wage in price year of analysis (without overhead)]]</f>
        <v>Wage in price year of analysis (without overhead)</v>
      </c>
      <c r="K1" s="6" t="s">
        <v>222</v>
      </c>
      <c r="L1" s="6" t="s">
        <v>223</v>
      </c>
      <c r="M1" s="6" t="s">
        <v>224</v>
      </c>
      <c r="R1" t="s">
        <v>75</v>
      </c>
      <c r="BU1" t="s">
        <v>225</v>
      </c>
    </row>
    <row r="2" spans="1:77" ht="61.5" customHeight="1" x14ac:dyDescent="0.3">
      <c r="A2" s="230" cm="1">
        <f t="array" ref="A2:A22">_xlfn.VSTACK(_xlfn.SEQUENCE(12), 1/_xlfn.SEQUENCE(Time-1,,2))</f>
        <v>1</v>
      </c>
      <c r="B2" t="str" cm="1">
        <f t="array" ref="B2">IFERROR(_xlfn.UNIQUE(_xlfn._xlws.FILTER(tbl_Stakeholders[Stakeholder Group], (tbl_Stakeholders[Stakeholder Group]&lt;&gt;"")*((tbl_Stakeholders[Non-business Count]&lt;&gt;"")+(tbl_Stakeholders[Small Business Count]&lt;&gt;"")+(tbl_Stakeholders[Med/Large Business Count]&lt;&gt;"")&gt;0))), "Enter groups on Stakeholders sheet")</f>
        <v>Enter groups on Stakeholders sheet</v>
      </c>
      <c r="C2" s="45"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YoR-2)))</f>
        <v>Start of Analytical Period</v>
      </c>
      <c r="H2" s="68">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77" cm="1">
        <f t="array" ref="K2:K9">_xlfn.SEQUENCE(Time-2, , YoR+1)</f>
        <v>2026</v>
      </c>
      <c r="L2" s="77" t="str" cm="1">
        <f t="array" ref="L2">IF(ISBLANK('Cost-benefit Statement'!$C$12), "", _xlfn.TAKE(_xlfn.DROP(_xlfn._xlws.SORT(_xlfn.HSTACK(_xlfn.ANCHORARRAY(Controls!$K$2), IF(_xlfn.ANCHORARRAY(Controls!$K$2)='Cost-benefit Statement'!$C$12, 1, 0)), 2), -1),, 1))</f>
        <v/>
      </c>
      <c r="M2" s="77" t="str" cm="1">
        <f t="array" ref="M2">IF(ISBLANK('Cost-benefit Statement'!$C$13), "", _xlfn.TAKE(_xlfn.DROP(_xlfn._xlws.SORT(_xlfn.HSTACK(_xlfn.ANCHORARRAY(Controls!$L$2), IF(_xlfn.ANCHORARRAY(Controls!$L$2)='Cost-benefit Statement'!$C$13, 1, 0)), 2), -1),, 1))</f>
        <v/>
      </c>
      <c r="N2" s="10" t="s">
        <v>226</v>
      </c>
      <c r="O2" s="10" t="s">
        <v>227</v>
      </c>
      <c r="P2" s="10" t="s">
        <v>228</v>
      </c>
      <c r="R2" s="25" t="str">
        <f>IF(OneForOneLanding=0,R5,R4)</f>
        <v>The one-for-one rule does not apply as there is no impact on business.</v>
      </c>
      <c r="S2" s="25"/>
      <c r="T2" s="25"/>
      <c r="U2" s="50"/>
      <c r="BU2" s="127" t="str" cm="1">
        <f t="array" ref="BU2">IF('Annual impact'!$C$10="Simple", $BV$2, IF('Annual impact'!$C$10="By Activity",$BW$2:$BW$6,IF('Annual impact'!$C$10="By Stakeholder",$BX$2:$BX$6,$BY$2:$BY$8)))</f>
        <v>Default</v>
      </c>
      <c r="BV2" s="127" t="s">
        <v>110</v>
      </c>
      <c r="BW2" s="127" t="s">
        <v>110</v>
      </c>
      <c r="BX2" s="127" t="s">
        <v>110</v>
      </c>
      <c r="BY2" s="127" t="s">
        <v>110</v>
      </c>
    </row>
    <row r="3" spans="1:77" ht="15" thickBot="1" x14ac:dyDescent="0.35">
      <c r="A3" s="230">
        <v>2</v>
      </c>
      <c r="C3" s="45">
        <v>0.01</v>
      </c>
      <c r="D3">
        <v>11</v>
      </c>
      <c r="E3">
        <v>2013</v>
      </c>
      <c r="F3">
        <v>2023</v>
      </c>
      <c r="G3" t="str">
        <v>End of Analytical Period</v>
      </c>
      <c r="I3" t="str">
        <v>02 Management occupations ($55.68)</v>
      </c>
      <c r="J3">
        <v>55.678672316384187</v>
      </c>
      <c r="K3">
        <v>2027</v>
      </c>
      <c r="N3" s="164" t="s">
        <v>229</v>
      </c>
      <c r="O3" s="1">
        <f>0.07/(1-(1.07)^(-10))</f>
        <v>0.14237750272736471</v>
      </c>
      <c r="P3" s="1" t="s">
        <v>230</v>
      </c>
      <c r="V3" s="54" t="s">
        <v>231</v>
      </c>
      <c r="AS3" s="6"/>
      <c r="AT3" s="6"/>
      <c r="AU3" s="6"/>
      <c r="AV3" s="6"/>
      <c r="AW3" s="6"/>
      <c r="AX3" s="6"/>
      <c r="BU3" s="127"/>
      <c r="BV3" s="127"/>
      <c r="BW3" s="127" t="s">
        <v>232</v>
      </c>
      <c r="BX3" s="127" t="s">
        <v>232</v>
      </c>
      <c r="BY3" s="127" t="s">
        <v>232</v>
      </c>
    </row>
    <row r="4" spans="1:77" ht="15" customHeight="1" thickBot="1" x14ac:dyDescent="0.35">
      <c r="A4" s="230">
        <v>3</v>
      </c>
      <c r="C4" s="45">
        <v>0.02</v>
      </c>
      <c r="D4">
        <v>12</v>
      </c>
      <c r="E4">
        <v>2014</v>
      </c>
      <c r="F4">
        <v>2022</v>
      </c>
      <c r="G4">
        <v>2025</v>
      </c>
      <c r="I4" t="str">
        <v>03 Senior management occupations ($65.36)</v>
      </c>
      <c r="J4">
        <v>65.359943502824862</v>
      </c>
      <c r="K4">
        <v>2028</v>
      </c>
      <c r="N4" s="164" t="s">
        <v>233</v>
      </c>
      <c r="O4" s="1">
        <f>Discount/(1-(1+Discount)^(-Time))</f>
        <v>0.14237750272736471</v>
      </c>
      <c r="P4" s="1" t="s">
        <v>234</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58" t="s">
        <v>185</v>
      </c>
      <c r="W4" s="59" t="s">
        <v>235</v>
      </c>
      <c r="X4" s="59" t="s">
        <v>236</v>
      </c>
      <c r="Y4" s="59" t="s">
        <v>237</v>
      </c>
      <c r="Z4" s="59" t="s">
        <v>190</v>
      </c>
      <c r="AA4" s="59" t="s">
        <v>238</v>
      </c>
      <c r="AB4" s="59" t="s">
        <v>239</v>
      </c>
      <c r="AC4" s="59" t="s">
        <v>240</v>
      </c>
      <c r="AD4" s="55" t="s">
        <v>241</v>
      </c>
      <c r="AE4" s="55" t="s">
        <v>242</v>
      </c>
      <c r="AF4" s="55" t="s">
        <v>243</v>
      </c>
      <c r="AG4" s="55" t="s">
        <v>244</v>
      </c>
      <c r="AH4" s="55" t="s">
        <v>245</v>
      </c>
      <c r="AI4" s="55" t="s">
        <v>246</v>
      </c>
      <c r="AJ4" s="56" t="s">
        <v>247</v>
      </c>
      <c r="AK4" s="282" t="s">
        <v>315</v>
      </c>
      <c r="AM4" s="57" t="s">
        <v>248</v>
      </c>
      <c r="AN4" s="55" t="s">
        <v>249</v>
      </c>
      <c r="AO4" s="55" t="s">
        <v>250</v>
      </c>
      <c r="AP4" s="55" t="s">
        <v>251</v>
      </c>
      <c r="AQ4" s="55" t="s">
        <v>252</v>
      </c>
      <c r="AR4" s="55" t="s">
        <v>253</v>
      </c>
      <c r="AS4" s="74" t="s">
        <v>254</v>
      </c>
      <c r="AT4" s="74" t="s">
        <v>255</v>
      </c>
      <c r="AU4" s="74" t="s">
        <v>256</v>
      </c>
      <c r="AV4" s="74" t="s">
        <v>257</v>
      </c>
      <c r="AW4" s="55" t="s">
        <v>258</v>
      </c>
      <c r="AX4" s="55" t="s">
        <v>259</v>
      </c>
      <c r="AY4" s="55" t="s">
        <v>260</v>
      </c>
      <c r="AZ4" s="55" t="s">
        <v>261</v>
      </c>
      <c r="BA4" s="55" t="s">
        <v>262</v>
      </c>
      <c r="BB4" s="55" t="s">
        <v>263</v>
      </c>
      <c r="BC4" s="55" t="s">
        <v>264</v>
      </c>
      <c r="BD4" s="55" t="s">
        <v>265</v>
      </c>
      <c r="BE4" s="55" t="s">
        <v>266</v>
      </c>
      <c r="BF4" s="55" t="s">
        <v>267</v>
      </c>
      <c r="BG4" s="55" t="s">
        <v>268</v>
      </c>
      <c r="BH4" s="55" t="s">
        <v>269</v>
      </c>
      <c r="BI4" s="55" t="s">
        <v>270</v>
      </c>
      <c r="BN4" s="24" t="str">
        <f>_xlfn.CONCAT(BN5:BN88)</f>
        <v xml:space="preserve">The amendments related to Activity Name Not Entered represent an annualized total  of $0. 
</v>
      </c>
      <c r="BU4" s="127"/>
      <c r="BV4" s="127"/>
      <c r="BW4" s="127" t="s">
        <v>271</v>
      </c>
      <c r="BX4" s="127" t="s">
        <v>271</v>
      </c>
      <c r="BY4" s="127" t="s">
        <v>271</v>
      </c>
    </row>
    <row r="5" spans="1:77" ht="66" customHeight="1" x14ac:dyDescent="0.3">
      <c r="A5" s="230">
        <v>4</v>
      </c>
      <c r="C5" s="45">
        <v>0.03</v>
      </c>
      <c r="D5">
        <v>13</v>
      </c>
      <c r="E5">
        <v>2015</v>
      </c>
      <c r="F5">
        <v>2021</v>
      </c>
      <c r="G5">
        <v>2026</v>
      </c>
      <c r="I5" t="str">
        <v>04 Specialized middle management occupations ($60.20)</v>
      </c>
      <c r="J5">
        <v>60.201144067796612</v>
      </c>
      <c r="K5">
        <v>2029</v>
      </c>
      <c r="N5" s="161" t="s">
        <v>272</v>
      </c>
      <c r="O5" s="162"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63" t="s">
        <v>273</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(((SUMIFS(_xlfn.ANCHORARRAY(All!$X2),_xlfn.ANCHORARRAY(All!$A2),_xlfn.ANCHORARRAY($V5),_xlfn.ANCHORARRAY(All!$E2),"&lt;"&amp;YoR+"10")*OneforOne_CPI_Conversion)*1.07^-Years_since_2012)*0.07)/(1-(1+'One-for-one'!$C$9)^-10)</f>
        <v>0</v>
      </c>
      <c r="AJ5" s="230" cm="1">
        <f t="array" ref="AJ5">IF(_xlfn.ANCHORARRAY(AK5)="Ongoing",ROUND(_xlfn.MAXIFS(_xlfn.ANCHORARRAY(All!K2),_xlfn.ANCHORARRAY(All!$A2),_xlfn.ANCHORARRAY($V5))+_xlfn.MAXIFS(_xlfn.ANCHORARRAY(All!L2),_xlfn.ANCHORARRAY(All!$A2),_xlfn.ANCHORARRAY($V5)),0),ROUND(SUMIFS(_xlfn.ANCHORARRAY(All!K2),_xlfn.ANCHORARRAY(All!$A2),_xlfn.ANCHORARRAY($V5))+SUMIFS(_xlfn.ANCHORARRAY(All!L2),_xlfn.ANCHORARRAY(All!$A2),_xlfn.ANCHORARRAY($V5)),0))</f>
        <v>0</v>
      </c>
      <c r="AK5" s="281" t="str" cm="1">
        <f t="array" ref="AK5">_xlfn.XLOOKUP(_xlfn.ANCHORARRAY($V5),ActivityNumber,tbl_Activities[Upfront or  Ongoing],"Activity Name Not Entered",0,1)</f>
        <v>Activity Name Not Entered</v>
      </c>
      <c r="AM5" s="6" t="str" cm="1">
        <f t="array" ref="AM5">_xlfn.UNIQUE(_xlfn.ANCHORARRAY(W5))</f>
        <v>Activity Name Not Entered</v>
      </c>
      <c r="AN5" s="51" cm="1">
        <f t="array" ref="AN5">SUMIFS(_xlfn.ANCHORARRAY($AI5),_xlfn.ANCHORARRAY($W5),_xlfn.ANCHORARRAY($AM5),_xlfn.ANCHORARRAY($Y5),"Labour",_xlfn.ANCHORARRAY($X5),"Cost")</f>
        <v>0</v>
      </c>
      <c r="AO5" s="51" cm="1">
        <f t="array" ref="AO5">SUMIFS(_xlfn.ANCHORARRAY($AI5),_xlfn.ANCHORARRAY($W5),_xlfn.ANCHORARRAY($AM5),_xlfn.ANCHORARRAY($Y5),"Labour",_xlfn.ANCHORARRAY($X5),"Benefit")</f>
        <v>0</v>
      </c>
      <c r="AP5" s="51" cm="1">
        <f t="array" ref="AP5">SUMIFS(_xlfn.ANCHORARRAY($AI5),_xlfn.ANCHORARRAY($W5),_xlfn.ANCHORARRAY($AM5),_xlfn.ANCHORARRAY($Y5),"Capital",_xlfn.ANCHORARRAY($X5),"Cost")</f>
        <v>0</v>
      </c>
      <c r="AQ5" s="51" cm="1">
        <f t="array" ref="AQ5">SUMIFS(_xlfn.ANCHORARRAY($AI5),_xlfn.ANCHORARRAY($W5),_xlfn.ANCHORARRAY($AM5),_xlfn.ANCHORARRAY($Y5),"Capital",_xlfn.ANCHORARRAY($X5),"Benefit")</f>
        <v>0</v>
      </c>
      <c r="AR5" s="61" t="str" cm="1">
        <f t="array" ref="AR5">$U$21&amp;_xlfn.ANCHORARRAY(AM5)&amp;"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3" t="str" cm="1">
        <f t="array" ref="AW5">_xlfn.LET(_xlpm.AVGLabHours, SUMIFS(_xlfn.ANCHORARRAY($AC5),_xlfn.ANCHORARRAY($W5),_xlfn.ANCHORARRAY($AM5),_xlfn.ANCHORARRAY($X5),"Cost",_xlfn.ANCHORARRAY(AJ5),"&gt;0"),_xlpm.WholeHours,ROUNDDOWN(_xlpm.AVGLabHours,0),_xlpm.Minutes,ROUND((_xlpm.AVGLabHours-_xlpm.WholeHours)*60,0),
IF(AND(_xlpm.WholeHours=0,_xlpm.Minutes = 0), "",
IF(AND(_xlpm.WholeHours&lt;1,_xlpm.Minutes &lt; 1), "less than one minute",
IF(AND(_xlpm.WholeHours&lt;1,_xlpm.Minutes = 1), " one minute",
IF(AND(_xlpm.WholeHours&lt;1,_xlpm.Minutes &lt; 11), INDEX(P34:Q43,_xlpm.Minutes,2) &amp; " minutes",
IF(AND(_xlpm.WholeHours&lt;1,_xlpm.Minutes &gt; 10),_xlpm.Minutes &amp; " minutes",
IF(AND(_xlpm.WholeHours=1,_xlpm.Minutes = 0), " one hour",
IF(AND(_xlpm.WholeHours=1,_xlpm.Minutes = 1), "one hour and one minute",
IF(AND(_xlpm.WholeHours=1,_xlpm.Minutes &lt; 11), "one hour and " &amp; INDEX(P34:Q43,_xlpm.Minutes,2) &amp; " minutes",
IF(AND(_xlpm.WholeHours=1,_xlpm.Minutes &gt; 10), "one hour and " &amp; _xlpm.Minutes &amp; " minutes",
IF(AND(_xlpm.WholeHours&lt;11,_xlpm.Minutes = 0), INDEX(P34:Q43,_xlpm.WholeHours,2) &amp;" hours",
IF(AND(_xlpm.WholeHours&lt;11,_xlpm.Minutes = 1), INDEX(P34:Q43,_xlpm.WholeHours,2) &amp;" hours and one minute",
IF(AND(_xlpm.WholeHours&lt;11,_xlpm.Minutes &lt; 11), INDEX(P34:Q43,_xlpm.WholeHours,2) &amp; " hours and " &amp; INDEX(P34:Q43,_xlpm.Minutes,2) &amp; " minutes",
IF(AND(_xlpm.WholeHours&lt;11,_xlpm.Minutes &gt; 10), INDEX(P34:Q43,_xlpm.WholeHours,2) &amp; " hours and "&amp; _xlpm.Minutes &amp; " minutes",
IF(AND(_xlpm.WholeHours&gt;10,_xlpm.Minutes = 0), _xlpm.WholeHours &amp;" hours",
IF(AND(_xlpm.WholeHours&gt;10,_xlpm.Minutes = 1), _xlpm.WholeHours &amp;" hours and one minute",
IF(AND(_xlpm.WholeHours&gt;10,_xlpm.Minutes &lt; 11), _xlpm.WholeHours &amp;" hours and " &amp; INDEX(P34:Q43,_xlpm.Minutes,2) &amp; " minutes",
IF(AND(_xlpm.WholeHours&gt;10,_xlpm.Minutes &gt; 10), _xlpm.WholeHours &amp;" hours and " &amp; _xlpm.Minutes &amp; " minutes",_xlpm.AVGLabHours)))))))))))))))))&amp; IF(OR(_xlpm.WholeHours&gt;0,_xlpm.Minutes&gt;0), " to complete this task ",""))</f>
        <v/>
      </c>
      <c r="AX5" s="23" t="str" cm="1">
        <f t="array" ref="AX5">_xlfn.LET(_xlpm.AVGLabHours, SUMIFS(_xlfn.ANCHORARRAY($AC5),_xlfn.ANCHORARRAY($W5),_xlfn.ANCHORARRAY($AM5),_xlfn.ANCHORARRAY($X5),"Benefit",_xlfn.ANCHORARRAY(AJ5),"&gt;0"),_xlpm.WholeHours,ROUNDDOWN(_xlpm.AVGLabHours,0),_xlpm.Minutes,ROUND((_xlpm.AVGLabHours-_xlpm.WholeHours)*60,0),
IF(AND(_xlpm.WholeHours=0,_xlpm.Minutes = 0), "",
IF(AND(_xlpm.WholeHours&lt;1,_xlpm.Minutes &lt; 1), "less than one minute",
IF(AND(_xlpm.WholeHours&lt;1,_xlpm.Minutes = 1), " one minute",
IF(AND(_xlpm.WholeHours&lt;1,_xlpm.Minutes &lt; 11), INDEX(P34:Q43,_xlpm.Minutes,2) &amp; " minutes",
IF(AND(_xlpm.WholeHours&lt;1,_xlpm.Minutes &gt; 10),_xlpm.Minutes &amp; " minutes",
IF(AND(_xlpm.WholeHours=1,_xlpm.Minutes = 0), " one hour",
IF(AND(_xlpm.WholeHours=1,_xlpm.Minutes = 1), "one hour and one minute",
IF(AND(_xlpm.WholeHours=1,_xlpm.Minutes &lt; 11), "one hour and " &amp; INDEX(P34:Q43,_xlpm.Minutes,2) &amp; " minutes",
IF(AND(_xlpm.WholeHours=1,_xlpm.Minutes &gt; 10), "one hour and " &amp; _xlpm.Minutes &amp; " minutes",
IF(AND(_xlpm.WholeHours&lt;11,_xlpm.Minutes = 0), INDEX(P34:Q43,_xlpm.WholeHours,2) &amp;" hours",
IF(AND(_xlpm.WholeHours&lt;11,_xlpm.Minutes = 1), INDEX(P34:Q43,_xlpm.WholeHours,2) &amp;" hours and one minute",
IF(AND(_xlpm.WholeHours&lt;11,_xlpm.Minutes &lt; 11), INDEX(P34:Q43,_xlpm.WholeHours,2) &amp; " hours and " &amp; INDEX(P34:Q43,_xlpm.Minutes,2) &amp; " minutes",
IF(AND(_xlpm.WholeHours&lt;11,_xlpm.Minutes &gt; 10), INDEX(P34:Q43,_xlpm.WholeHours,2) &amp; " hours and "&amp; _xlpm.Minutes &amp; " minutes",
IF(AND(_xlpm.WholeHours&gt;10,_xlpm.Minutes = 0), _xlpm.WholeHours &amp;" hours",
IF(AND(_xlpm.WholeHours&gt;10,_xlpm.Minutes = 1), _xlpm.WholeHours &amp;" hours and one minute",
IF(AND(_xlpm.WholeHours&gt;10,_xlpm.Minutes &lt; 11), _xlpm.WholeHours &amp;" hours and " &amp; INDEX(P34:Q43,_xlpm.Minutes,2) &amp; " minutes",
IF(AND(_xlpm.WholeHours&gt;10,_xlpm.Minutes &gt; 10), _xlpm.WholeHours &amp;" hours and " &amp; _xlpm.Minutes &amp; " minutes",_xlpm.AVGLabHours)))))))))))))))))&amp; IF(OR(_xlpm.WholeHours&gt;0,_xlpm.Minutes&gt;0), " by not having to perform this task ",""))</f>
        <v/>
      </c>
      <c r="AY5" s="23"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3"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3" t="str" cm="1">
        <f t="array" ref="BA5">IF(AND(_xlfn.ANCHORARRAY(AK5)="Upfront",_xlfn.ANCHORARRAY($X5)="Cost",_xlfn.ANCHORARRAY($Y5),"Labour",_xlfn.ANCHORARRAY(AJ5),"&gt;0"),"one time. ",_xlfn.LET(_xlpm.LabFreq, _xlfn.MAXIFS(_xlfn.ANCHORARRAY($Z5),_xlfn.ANCHORARRAY($W5),_xlfn.ANCHORARRAY($AM5),_xlfn.ANCHORARRAY($X5),"Cost",_xlfn.ANCHORARRAY($Y5),"Labour",_xlfn.ANCHORARRAY(AJ5),"&gt;0"),IF(_xlpm.LabFreq=0,"",IF(_xlpm.LabFreq&lt;1,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B5" s="23" t="str" cm="1">
        <f t="array" ref="BB5">IF(AND(_xlfn.ANCHORARRAY(AK5)="Upfront",_xlfn.ANCHORARRAY($X5)="Benefit",_xlfn.ANCHORARRAY($Y5),"Labour",_xlfn.ANCHORARRAY(AJ5),"&gt;0"),"one time. ",_xlfn.LET(_xlpm.LabFreq, _xlfn.MAXIFS(_xlfn.ANCHORARRAY($Z5),_xlfn.ANCHORARRAY($W5),_xlfn.ANCHORARRAY($AM5),_xlfn.ANCHORARRAY($X5),"Benefit",_xlfn.ANCHORARRAY($Y5),"Labour",_xlfn.ANCHORARRAY(AJ5),"&gt;0"),IF(_xlpm.LabFreq=0,"",IF(_xlpm.LabFreq&lt;1,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C5" s="23"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3"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62"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1"/>
      <c r="BK5" s="51"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27"/>
      <c r="BV5" s="127"/>
      <c r="BW5" s="127" t="s">
        <v>274</v>
      </c>
      <c r="BX5" s="127" t="s">
        <v>275</v>
      </c>
      <c r="BY5" s="127" t="s">
        <v>275</v>
      </c>
    </row>
    <row r="6" spans="1:77" ht="43.2" x14ac:dyDescent="0.3">
      <c r="A6" s="230">
        <v>5</v>
      </c>
      <c r="C6" s="45">
        <v>0.04</v>
      </c>
      <c r="D6">
        <v>14</v>
      </c>
      <c r="E6">
        <v>2016</v>
      </c>
      <c r="F6">
        <v>2020</v>
      </c>
      <c r="G6">
        <v>2027</v>
      </c>
      <c r="I6" t="str">
        <v>05 Middle management occupations in retail and wholesale trade and customer services ($44.63)</v>
      </c>
      <c r="J6">
        <v>44.633841807909604</v>
      </c>
      <c r="K6">
        <v>2030</v>
      </c>
      <c r="N6" s="161" t="s">
        <v>276</v>
      </c>
      <c r="O6" s="162"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63" t="s">
        <v>277</v>
      </c>
      <c r="R6" t="s">
        <v>278</v>
      </c>
      <c r="AB6" s="52"/>
      <c r="AN6" s="51"/>
      <c r="AO6" s="51"/>
      <c r="AR6" s="60"/>
      <c r="AX6" s="6"/>
      <c r="BF6" s="6"/>
      <c r="BG6" s="5"/>
      <c r="BH6" s="5"/>
      <c r="BI6" s="24"/>
      <c r="BU6" s="127"/>
      <c r="BV6" s="127"/>
      <c r="BW6" s="127" t="s">
        <v>279</v>
      </c>
      <c r="BX6" s="127" t="s">
        <v>280</v>
      </c>
      <c r="BY6" s="127" t="s">
        <v>280</v>
      </c>
    </row>
    <row r="7" spans="1:77" ht="102.75" customHeight="1" x14ac:dyDescent="0.3">
      <c r="A7" s="230">
        <v>6</v>
      </c>
      <c r="C7" s="45">
        <v>0.05</v>
      </c>
      <c r="D7">
        <v>15</v>
      </c>
      <c r="E7">
        <v>2017</v>
      </c>
      <c r="F7">
        <v>2019</v>
      </c>
      <c r="G7">
        <v>2028</v>
      </c>
      <c r="I7" t="str">
        <v>06 Middle management occupations in trades, transportation, production and utilities ($52.45)</v>
      </c>
      <c r="J7">
        <v>52.451581920903955</v>
      </c>
      <c r="K7">
        <v>2031</v>
      </c>
      <c r="R7" t="s">
        <v>281</v>
      </c>
      <c r="AN7" s="51"/>
      <c r="AO7" s="51"/>
      <c r="BG7" s="5"/>
      <c r="BH7" s="5"/>
      <c r="BI7" s="6"/>
      <c r="BU7" s="127"/>
      <c r="BV7" s="127"/>
      <c r="BW7" s="127"/>
      <c r="BX7" s="127"/>
      <c r="BY7" s="127" t="s">
        <v>274</v>
      </c>
    </row>
    <row r="8" spans="1:77" ht="74.25" customHeight="1" x14ac:dyDescent="0.3">
      <c r="A8" s="230">
        <v>7</v>
      </c>
      <c r="C8" s="45">
        <v>6.0000000000000005E-2</v>
      </c>
      <c r="D8">
        <v>16</v>
      </c>
      <c r="E8">
        <v>2018</v>
      </c>
      <c r="F8">
        <v>2018</v>
      </c>
      <c r="G8">
        <v>2029</v>
      </c>
      <c r="I8" t="str">
        <v>07 Business, finance and administration occupations ($33.94)</v>
      </c>
      <c r="J8">
        <v>33.941264124293788</v>
      </c>
      <c r="K8">
        <v>2032</v>
      </c>
      <c r="N8" s="2"/>
      <c r="O8" s="2"/>
      <c r="P8" s="2"/>
      <c r="R8" t="s">
        <v>282</v>
      </c>
      <c r="AN8" s="51"/>
      <c r="AO8" s="51"/>
      <c r="BG8" s="5"/>
      <c r="BH8" s="5"/>
      <c r="BI8" s="6"/>
      <c r="BU8" s="127"/>
      <c r="BV8" s="127"/>
      <c r="BW8" s="127"/>
      <c r="BX8" s="127"/>
      <c r="BY8" s="127" t="s">
        <v>279</v>
      </c>
    </row>
    <row r="9" spans="1:77" x14ac:dyDescent="0.3">
      <c r="A9" s="230">
        <v>8</v>
      </c>
      <c r="C9" s="45">
        <v>7.0000000000000007E-2</v>
      </c>
      <c r="D9">
        <v>17</v>
      </c>
      <c r="E9">
        <v>2019</v>
      </c>
      <c r="F9">
        <v>2017</v>
      </c>
      <c r="G9">
        <v>2030</v>
      </c>
      <c r="I9" t="str">
        <v>08 Professional occupations in business and finance ($44.44)</v>
      </c>
      <c r="J9">
        <v>44.440670903954803</v>
      </c>
      <c r="K9">
        <v>2033</v>
      </c>
      <c r="R9" t="s">
        <v>283</v>
      </c>
      <c r="AN9" s="51"/>
      <c r="AO9" s="51"/>
      <c r="BG9" s="5"/>
      <c r="BH9" s="5"/>
      <c r="BI9" s="6"/>
    </row>
    <row r="10" spans="1:77" x14ac:dyDescent="0.3">
      <c r="A10" s="230">
        <v>9</v>
      </c>
      <c r="C10" s="45">
        <v>0.08</v>
      </c>
      <c r="D10">
        <v>18</v>
      </c>
      <c r="E10">
        <v>2020</v>
      </c>
      <c r="F10">
        <v>2016</v>
      </c>
      <c r="G10">
        <v>2031</v>
      </c>
      <c r="I10" t="str">
        <v>09 Administrative and financial supervisors and administrative occupations ($32.83)</v>
      </c>
      <c r="J10">
        <v>32.827690677966103</v>
      </c>
      <c r="P10" s="12"/>
      <c r="R10" s="75"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1"/>
      <c r="AO10" s="51"/>
      <c r="BG10" s="5"/>
      <c r="BH10" s="5"/>
      <c r="BI10" s="6"/>
    </row>
    <row r="11" spans="1:77" x14ac:dyDescent="0.3">
      <c r="A11" s="230">
        <v>10</v>
      </c>
      <c r="C11" s="45">
        <v>0.09</v>
      </c>
      <c r="D11">
        <v>19</v>
      </c>
      <c r="E11">
        <v>2021</v>
      </c>
      <c r="F11">
        <v>2015</v>
      </c>
      <c r="G11">
        <v>2032</v>
      </c>
      <c r="I11" t="str">
        <v>10 Finance, insurance and related business administrative occupations ($33.32)</v>
      </c>
      <c r="J11">
        <v>33.316299435028256</v>
      </c>
      <c r="AN11" s="51"/>
      <c r="AO11" s="51"/>
      <c r="BG11" s="5"/>
      <c r="BH11" s="5"/>
      <c r="BI11" s="6"/>
    </row>
    <row r="12" spans="1:77" ht="18" customHeight="1" x14ac:dyDescent="0.3">
      <c r="A12" s="230">
        <v>11</v>
      </c>
      <c r="C12" s="45">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1:77" ht="16.5" customHeight="1" x14ac:dyDescent="0.3">
      <c r="A13" s="230">
        <v>12</v>
      </c>
      <c r="D13">
        <v>21</v>
      </c>
      <c r="E13">
        <v>2023</v>
      </c>
      <c r="F13">
        <v>2013</v>
      </c>
      <c r="G13">
        <v>2034</v>
      </c>
      <c r="I13" t="str">
        <v>12 Distribution, tracking and scheduling co-ordination occupations ($27.09)</v>
      </c>
      <c r="J13">
        <v>27.08937853107345</v>
      </c>
      <c r="R13" s="24"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1:77" x14ac:dyDescent="0.3">
      <c r="A14" s="5">
        <v>0.5</v>
      </c>
      <c r="D14">
        <v>22</v>
      </c>
      <c r="E14">
        <v>2024</v>
      </c>
      <c r="F14">
        <v>2012</v>
      </c>
      <c r="I14" t="str">
        <v>13 Natural and applied sciences and related occupations ($45.44)</v>
      </c>
      <c r="J14">
        <v>45.440614406779666</v>
      </c>
      <c r="R14" s="27"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1:77" x14ac:dyDescent="0.3">
      <c r="A15" s="5">
        <v>0.33333333333333331</v>
      </c>
      <c r="D15">
        <v>23</v>
      </c>
      <c r="E15">
        <v>2025</v>
      </c>
      <c r="F15">
        <v>2011</v>
      </c>
      <c r="I15" t="str">
        <v>14 Professional occupations in natural and applied sciences ($49.82)</v>
      </c>
      <c r="J15">
        <v>49.815367231638426</v>
      </c>
    </row>
    <row r="16" spans="1:77" x14ac:dyDescent="0.3">
      <c r="A16" s="5">
        <v>0.25</v>
      </c>
      <c r="D16">
        <v>24</v>
      </c>
      <c r="E16">
        <v>2026</v>
      </c>
      <c r="F16">
        <v>2010</v>
      </c>
      <c r="I16" t="str">
        <v>15 Technical occupations related to natural and applied sciences ($37.82)</v>
      </c>
      <c r="J16">
        <v>37.816045197740117</v>
      </c>
      <c r="R16" t="s">
        <v>284</v>
      </c>
    </row>
    <row r="17" spans="1:21" x14ac:dyDescent="0.3">
      <c r="A17" s="5">
        <v>0.2</v>
      </c>
      <c r="D17">
        <v>25</v>
      </c>
      <c r="E17">
        <v>2027</v>
      </c>
      <c r="F17">
        <v>2009</v>
      </c>
      <c r="I17" t="str">
        <v>16 Health occupations ($36.19)</v>
      </c>
      <c r="J17">
        <v>36.191137005649722</v>
      </c>
      <c r="R17" t="s">
        <v>285</v>
      </c>
    </row>
    <row r="18" spans="1:21" x14ac:dyDescent="0.3">
      <c r="A18" s="5">
        <v>0.16666666666666666</v>
      </c>
      <c r="D18">
        <v>26</v>
      </c>
      <c r="E18">
        <v>2028</v>
      </c>
      <c r="F18">
        <v>2008</v>
      </c>
      <c r="I18" t="str">
        <v>17 Professional occupations in nursing ($44.99)</v>
      </c>
      <c r="J18">
        <v>44.986094632768371</v>
      </c>
    </row>
    <row r="19" spans="1:21" x14ac:dyDescent="0.3">
      <c r="A19" s="5">
        <v>0.14285714285714285</v>
      </c>
      <c r="D19">
        <v>27</v>
      </c>
      <c r="E19">
        <v>2029</v>
      </c>
      <c r="F19">
        <v>2007</v>
      </c>
      <c r="I19" t="str">
        <v>18 Professional occupations in health (except nursing) ($47.28)</v>
      </c>
      <c r="J19">
        <v>47.281419491525426</v>
      </c>
    </row>
    <row r="20" spans="1:21" x14ac:dyDescent="0.3">
      <c r="A20" s="5">
        <v>0.125</v>
      </c>
      <c r="D20">
        <v>28</v>
      </c>
      <c r="E20">
        <v>2030</v>
      </c>
      <c r="F20">
        <v>2006</v>
      </c>
      <c r="I20" t="str">
        <v>19 Technical occupations in health ($33.85)</v>
      </c>
      <c r="J20">
        <v>33.85036016949153</v>
      </c>
    </row>
    <row r="21" spans="1:21" x14ac:dyDescent="0.3">
      <c r="A21" s="5">
        <v>0.1111111111111111</v>
      </c>
      <c r="D21">
        <v>29</v>
      </c>
      <c r="E21">
        <v>2031</v>
      </c>
      <c r="F21">
        <v>2005</v>
      </c>
      <c r="I21" t="str">
        <v>20 Assisting occupations in support of health services ($25.18)</v>
      </c>
      <c r="J21">
        <v>25.180395480225993</v>
      </c>
      <c r="Q21" t="s">
        <v>286</v>
      </c>
      <c r="R21" t="s">
        <v>287</v>
      </c>
      <c r="U21" t="str">
        <f>_xlfn.XLOOKUP(Initiative!$D$5,Controls!$P$22:$P$26,Controls!$U$22:$U$26,0,0,1)</f>
        <v xml:space="preserve">The amendments related to </v>
      </c>
    </row>
    <row r="22" spans="1:21" x14ac:dyDescent="0.3">
      <c r="A22" s="5">
        <v>0.1</v>
      </c>
      <c r="D22">
        <v>30</v>
      </c>
      <c r="E22">
        <v>2032</v>
      </c>
      <c r="F22">
        <v>2004</v>
      </c>
      <c r="I22" t="str">
        <v>21 Occupations in education, law and social, community and government services ($40.18)</v>
      </c>
      <c r="J22">
        <v>40.179548022598873</v>
      </c>
      <c r="P22" t="s">
        <v>31</v>
      </c>
      <c r="Q22">
        <v>0</v>
      </c>
      <c r="R22">
        <v>0</v>
      </c>
      <c r="S22" t="s">
        <v>288</v>
      </c>
      <c r="U22" t="str">
        <f>"The amendments related to "</f>
        <v xml:space="preserve">The amendments related to </v>
      </c>
    </row>
    <row r="23" spans="1:21" x14ac:dyDescent="0.3">
      <c r="A23" s="5"/>
      <c r="D23">
        <v>31</v>
      </c>
      <c r="E23">
        <v>2033</v>
      </c>
      <c r="F23">
        <v>2003</v>
      </c>
      <c r="I23" t="str">
        <v>22 Professional occupations in education services ($45.42)</v>
      </c>
      <c r="J23">
        <v>45.417888418079094</v>
      </c>
      <c r="P23" t="s">
        <v>289</v>
      </c>
      <c r="Q23">
        <v>0</v>
      </c>
      <c r="R23">
        <v>1</v>
      </c>
      <c r="S23" t="s">
        <v>290</v>
      </c>
      <c r="U23" t="str">
        <f>"The new administrative requirements related to "</f>
        <v xml:space="preserve">The new administrative requirements related to </v>
      </c>
    </row>
    <row r="24" spans="1:21" x14ac:dyDescent="0.3">
      <c r="A24" s="5"/>
      <c r="D24">
        <v>32</v>
      </c>
      <c r="E24">
        <v>2034</v>
      </c>
      <c r="F24">
        <v>2002</v>
      </c>
      <c r="I24" t="str">
        <v>23 Professional occupations in law and social, community and government services ($45.49)</v>
      </c>
      <c r="J24">
        <v>45.486066384180795</v>
      </c>
      <c r="P24" t="s">
        <v>291</v>
      </c>
      <c r="Q24">
        <v>1</v>
      </c>
      <c r="R24">
        <v>0</v>
      </c>
      <c r="S24" t="s">
        <v>292</v>
      </c>
      <c r="U24" t="str">
        <f>" The repeal of administrative requirements related to "</f>
        <v xml:space="preserve"> The repeal of administrative requirements related to </v>
      </c>
    </row>
    <row r="25" spans="1:21" x14ac:dyDescent="0.3">
      <c r="A25" s="5"/>
      <c r="D25">
        <v>33</v>
      </c>
      <c r="E25">
        <v>2035</v>
      </c>
      <c r="I25" t="str">
        <v>24 Paraprofessional occupations in legal, social, community and education services ($27.16)</v>
      </c>
      <c r="J25">
        <v>27.15755649717514</v>
      </c>
      <c r="P25" t="s">
        <v>293</v>
      </c>
      <c r="Q25">
        <v>1</v>
      </c>
      <c r="R25">
        <v>1</v>
      </c>
      <c r="S25" t="s">
        <v>294</v>
      </c>
      <c r="U25" t="str">
        <f>"The administrative requirements related to "</f>
        <v xml:space="preserve">The administrative requirements related to </v>
      </c>
    </row>
    <row r="26" spans="1:21" x14ac:dyDescent="0.3">
      <c r="A26" s="5"/>
      <c r="D26">
        <v>34</v>
      </c>
      <c r="E26">
        <v>2036</v>
      </c>
      <c r="I26" t="str">
        <v>25 Occupations in front-line public protection services ($50.39)</v>
      </c>
      <c r="J26">
        <v>50.394879943502836</v>
      </c>
      <c r="P26" t="s">
        <v>295</v>
      </c>
      <c r="Q26" t="s">
        <v>296</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1:21" x14ac:dyDescent="0.3">
      <c r="A27" s="5"/>
      <c r="D27">
        <v>35</v>
      </c>
      <c r="E27">
        <v>2037</v>
      </c>
      <c r="I27" t="str">
        <v>26 Care providers and educational, legal and public protection support occupations ($27.11)</v>
      </c>
      <c r="J27">
        <v>27.112104519774014</v>
      </c>
    </row>
    <row r="28" spans="1:21" x14ac:dyDescent="0.3">
      <c r="A28" s="5"/>
      <c r="D28">
        <v>36</v>
      </c>
      <c r="E28">
        <v>2038</v>
      </c>
      <c r="I28" t="str">
        <v>27 Occupations in art, culture, recreation and sport ($32.25)</v>
      </c>
      <c r="J28">
        <v>32.248177966101693</v>
      </c>
    </row>
    <row r="29" spans="1:21" x14ac:dyDescent="0.3">
      <c r="A29" s="5"/>
      <c r="D29">
        <v>37</v>
      </c>
      <c r="E29">
        <v>2039</v>
      </c>
      <c r="I29" t="str">
        <v>28 Professional occupations in art and culture ($37.27)</v>
      </c>
      <c r="J29">
        <v>37.270621468926549</v>
      </c>
    </row>
    <row r="30" spans="1:21" x14ac:dyDescent="0.3">
      <c r="A30" s="5"/>
      <c r="D30">
        <v>38</v>
      </c>
      <c r="E30">
        <v>2040</v>
      </c>
      <c r="I30" t="str">
        <v>29 Technical occupations in art, culture, recreation and sport ($30.20)</v>
      </c>
      <c r="J30">
        <v>30.202838983050846</v>
      </c>
    </row>
    <row r="31" spans="1:21" x14ac:dyDescent="0.3">
      <c r="A31" s="5"/>
      <c r="D31">
        <v>39</v>
      </c>
      <c r="E31">
        <v>2041</v>
      </c>
      <c r="I31" t="str">
        <v>30 Sales and service occupations ($22.21)</v>
      </c>
      <c r="J31">
        <v>22.214653954802262</v>
      </c>
    </row>
    <row r="32" spans="1:21" x14ac:dyDescent="0.3">
      <c r="A32" s="5"/>
      <c r="D32">
        <v>40</v>
      </c>
      <c r="E32">
        <v>2042</v>
      </c>
      <c r="I32" t="str">
        <v>31 Retail sales supervisors and specialized sales occupations ($28.96)</v>
      </c>
      <c r="J32">
        <v>28.964272598870053</v>
      </c>
    </row>
    <row r="33" spans="1:21" x14ac:dyDescent="0.3">
      <c r="A33" s="5"/>
      <c r="D33">
        <v>41</v>
      </c>
      <c r="E33">
        <v>2043</v>
      </c>
      <c r="I33" t="str">
        <v>32 Service supervisors and specialized service occupations ($22.54)</v>
      </c>
      <c r="J33">
        <v>22.544180790960453</v>
      </c>
      <c r="P33" t="s">
        <v>297</v>
      </c>
      <c r="Q33" t="s">
        <v>298</v>
      </c>
    </row>
    <row r="34" spans="1:21" x14ac:dyDescent="0.3">
      <c r="A34" s="5"/>
      <c r="D34">
        <v>42</v>
      </c>
      <c r="E34">
        <v>2044</v>
      </c>
      <c r="I34" t="str">
        <v>33 Sales representatives and salespersons - wholesale and retail trade ($23.23)</v>
      </c>
      <c r="J34">
        <v>23.225960451977404</v>
      </c>
      <c r="P34">
        <v>1</v>
      </c>
      <c r="Q34" t="s">
        <v>299</v>
      </c>
    </row>
    <row r="35" spans="1:21" x14ac:dyDescent="0.3">
      <c r="A35" s="5"/>
      <c r="D35">
        <v>43</v>
      </c>
      <c r="E35">
        <v>2045</v>
      </c>
      <c r="I35" t="str">
        <v>34 Service representatives and other customer and personal services occupations ($22.35)</v>
      </c>
      <c r="J35">
        <v>22.351009887005652</v>
      </c>
      <c r="P35">
        <v>2</v>
      </c>
      <c r="Q35" t="s">
        <v>300</v>
      </c>
    </row>
    <row r="36" spans="1:21" x14ac:dyDescent="0.3">
      <c r="A36" s="5"/>
      <c r="D36">
        <v>44</v>
      </c>
      <c r="E36">
        <v>2046</v>
      </c>
      <c r="I36" t="str">
        <v>35 Sales support occupations ($17.56)</v>
      </c>
      <c r="J36">
        <v>17.555826271186444</v>
      </c>
      <c r="P36">
        <v>3</v>
      </c>
      <c r="Q36" t="s">
        <v>301</v>
      </c>
      <c r="S36" s="5"/>
    </row>
    <row r="37" spans="1:21" x14ac:dyDescent="0.3">
      <c r="A37" s="5"/>
      <c r="D37">
        <v>45</v>
      </c>
      <c r="E37">
        <v>2047</v>
      </c>
      <c r="I37" t="str">
        <v>36 Service support and other service occupations, n.e.c. ($19.93)</v>
      </c>
      <c r="J37">
        <v>19.930692090395482</v>
      </c>
      <c r="P37">
        <v>4</v>
      </c>
      <c r="Q37" t="s">
        <v>302</v>
      </c>
    </row>
    <row r="38" spans="1:21" x14ac:dyDescent="0.3">
      <c r="A38" s="5"/>
      <c r="D38">
        <v>46</v>
      </c>
      <c r="E38">
        <v>2048</v>
      </c>
      <c r="I38" t="str">
        <v>37 Trades, transport and equipment operators and related occupations ($32.58)</v>
      </c>
      <c r="J38">
        <v>32.577704802259895</v>
      </c>
      <c r="P38">
        <v>5</v>
      </c>
      <c r="Q38" t="s">
        <v>303</v>
      </c>
    </row>
    <row r="39" spans="1:21" x14ac:dyDescent="0.3">
      <c r="A39" s="5"/>
      <c r="D39">
        <v>47</v>
      </c>
      <c r="E39">
        <v>2049</v>
      </c>
      <c r="I39" t="str">
        <v>38 Industrial, electrical and construction trades ($36.44)</v>
      </c>
      <c r="J39">
        <v>36.441122881355938</v>
      </c>
      <c r="P39">
        <v>6</v>
      </c>
      <c r="Q39" t="s">
        <v>304</v>
      </c>
    </row>
    <row r="40" spans="1:21" x14ac:dyDescent="0.3">
      <c r="A40" s="5"/>
      <c r="D40">
        <v>48</v>
      </c>
      <c r="E40">
        <v>2050</v>
      </c>
      <c r="I40" t="str">
        <v>39 Maintenance and equipment operation trades ($36.99)</v>
      </c>
      <c r="J40">
        <v>36.986546610169491</v>
      </c>
      <c r="P40">
        <v>7</v>
      </c>
      <c r="Q40" t="s">
        <v>305</v>
      </c>
    </row>
    <row r="41" spans="1:21" x14ac:dyDescent="0.3">
      <c r="A41" s="5"/>
      <c r="D41">
        <v>49</v>
      </c>
      <c r="I41" t="str">
        <v>40 Other installers, repairers and servicers and material handlers ($25.15)</v>
      </c>
      <c r="J41">
        <v>25.146306497175143</v>
      </c>
      <c r="P41">
        <v>8</v>
      </c>
      <c r="Q41" t="s">
        <v>306</v>
      </c>
    </row>
    <row r="42" spans="1:21" x14ac:dyDescent="0.3">
      <c r="A42" s="5"/>
      <c r="D42">
        <v>50</v>
      </c>
      <c r="I42" t="str">
        <v>41 Transport and heavy equipment operation and related maintenance occupations ($28.35)</v>
      </c>
      <c r="J42">
        <v>28.350670903954803</v>
      </c>
      <c r="P42">
        <v>9</v>
      </c>
      <c r="Q42" t="s">
        <v>307</v>
      </c>
      <c r="T42" s="14"/>
      <c r="U42" s="6"/>
    </row>
    <row r="43" spans="1:21" x14ac:dyDescent="0.3">
      <c r="A43" s="5"/>
      <c r="D43">
        <v>51</v>
      </c>
      <c r="I43" t="str">
        <v>42 Trades helpers, construction labourers and related occupations ($27.37)</v>
      </c>
      <c r="J43">
        <v>27.373453389830509</v>
      </c>
      <c r="P43">
        <v>10</v>
      </c>
      <c r="Q43" t="s">
        <v>308</v>
      </c>
      <c r="T43" s="6"/>
      <c r="U43" s="15"/>
    </row>
    <row r="44" spans="1:21" x14ac:dyDescent="0.3">
      <c r="A44" s="5"/>
      <c r="D44">
        <v>52</v>
      </c>
      <c r="I44" t="str">
        <v>43 Natural resources, agriculture and related production occupations ($29.52)</v>
      </c>
      <c r="J44">
        <v>29.521059322033899</v>
      </c>
      <c r="P44">
        <v>20</v>
      </c>
      <c r="Q44" t="s">
        <v>309</v>
      </c>
    </row>
    <row r="45" spans="1:21" x14ac:dyDescent="0.3">
      <c r="A45" s="5"/>
      <c r="D45">
        <v>53</v>
      </c>
      <c r="I45" t="str">
        <v>44 Supervisors and technical occupations in natural resources, agriculture and related production ($40.13)</v>
      </c>
      <c r="J45">
        <v>40.134096045197744</v>
      </c>
      <c r="P45">
        <v>30</v>
      </c>
      <c r="Q45" t="s">
        <v>310</v>
      </c>
    </row>
    <row r="46" spans="1:21" x14ac:dyDescent="0.3">
      <c r="A46" s="5"/>
      <c r="D46">
        <v>54</v>
      </c>
      <c r="I46" t="str">
        <v>45 Workers in natural resources, agriculture and related production ($23.85)</v>
      </c>
      <c r="J46">
        <v>23.850925141242936</v>
      </c>
      <c r="P46">
        <v>40</v>
      </c>
      <c r="Q46" t="s">
        <v>311</v>
      </c>
    </row>
    <row r="47" spans="1:21" x14ac:dyDescent="0.3">
      <c r="A47" s="5"/>
      <c r="D47">
        <v>55</v>
      </c>
      <c r="I47" t="str">
        <v>46 Harvesting, landscaping and natural resources labourers ($24.04)</v>
      </c>
      <c r="J47">
        <v>24.044096045197744</v>
      </c>
      <c r="P47">
        <v>50</v>
      </c>
      <c r="Q47" t="s">
        <v>312</v>
      </c>
    </row>
    <row r="48" spans="1:21" x14ac:dyDescent="0.3">
      <c r="A48" s="5"/>
      <c r="D48">
        <v>56</v>
      </c>
      <c r="I48" t="str">
        <v>47 Occupations in manufacturing and utilities ($28.24)</v>
      </c>
      <c r="J48">
        <v>28.237040960451981</v>
      </c>
      <c r="P48">
        <v>100</v>
      </c>
      <c r="Q48" t="s">
        <v>313</v>
      </c>
    </row>
    <row r="49" spans="1:19" x14ac:dyDescent="0.3">
      <c r="A49" s="5"/>
      <c r="D49">
        <v>57</v>
      </c>
      <c r="I49" t="str">
        <v>48 Processing, manufacturing and utilities supervisors and central control operators ($39.83)</v>
      </c>
      <c r="J49">
        <v>39.827295197740114</v>
      </c>
    </row>
    <row r="50" spans="1:19" x14ac:dyDescent="0.3">
      <c r="A50" s="5"/>
      <c r="D50">
        <v>58</v>
      </c>
      <c r="I50" t="str">
        <v>49 Processing and manufacturing machine operators and related production workers ($25.42)</v>
      </c>
      <c r="J50">
        <v>25.419018361581923</v>
      </c>
    </row>
    <row r="51" spans="1:19" x14ac:dyDescent="0.3">
      <c r="A51" s="5"/>
      <c r="D51">
        <v>59</v>
      </c>
      <c r="I51" t="str">
        <v>50 Assemblers in manufacturing ($26.07)</v>
      </c>
      <c r="J51">
        <v>26.066709039548027</v>
      </c>
    </row>
    <row r="52" spans="1:19" x14ac:dyDescent="0.3">
      <c r="A52" s="5"/>
      <c r="D52">
        <v>60</v>
      </c>
      <c r="I52" t="str">
        <v>51 Labourers in processing, manufacturing and utilities ($22.28)</v>
      </c>
      <c r="J52">
        <v>22.282831920903956</v>
      </c>
    </row>
    <row r="53" spans="1:19" x14ac:dyDescent="0.3">
      <c r="A53" s="5"/>
      <c r="D53">
        <v>61</v>
      </c>
      <c r="I53" t="str">
        <v>52 Custom Wage #1 (custom wage not added yet)</v>
      </c>
      <c r="J53" t="str">
        <v/>
      </c>
    </row>
    <row r="54" spans="1:19" x14ac:dyDescent="0.3">
      <c r="A54" s="5"/>
      <c r="D54">
        <v>62</v>
      </c>
      <c r="R54" s="26"/>
    </row>
    <row r="55" spans="1:19" x14ac:dyDescent="0.3">
      <c r="A55" s="5"/>
      <c r="D55">
        <v>63</v>
      </c>
    </row>
    <row r="56" spans="1:19" x14ac:dyDescent="0.3">
      <c r="A56" s="5"/>
      <c r="D56">
        <v>64</v>
      </c>
    </row>
    <row r="57" spans="1:19" x14ac:dyDescent="0.3">
      <c r="A57" s="5"/>
      <c r="D57">
        <v>65</v>
      </c>
    </row>
    <row r="58" spans="1:19" x14ac:dyDescent="0.3">
      <c r="A58" s="5"/>
      <c r="D58">
        <v>66</v>
      </c>
      <c r="P58" s="6"/>
      <c r="R58" s="13"/>
      <c r="S58" s="23"/>
    </row>
    <row r="59" spans="1:19" x14ac:dyDescent="0.3">
      <c r="A59" s="5"/>
      <c r="D59">
        <v>67</v>
      </c>
      <c r="S59" s="23"/>
    </row>
    <row r="60" spans="1:19" x14ac:dyDescent="0.3">
      <c r="A60" s="5"/>
      <c r="D60">
        <v>68</v>
      </c>
      <c r="S60" s="23"/>
    </row>
    <row r="61" spans="1:19" x14ac:dyDescent="0.3">
      <c r="A61" s="5"/>
      <c r="D61">
        <v>69</v>
      </c>
    </row>
    <row r="62" spans="1:19" x14ac:dyDescent="0.3">
      <c r="A62" s="5"/>
      <c r="D62">
        <v>70</v>
      </c>
    </row>
    <row r="63" spans="1:19" x14ac:dyDescent="0.3">
      <c r="A63" s="5"/>
      <c r="D63">
        <v>71</v>
      </c>
    </row>
    <row r="64" spans="1:19" x14ac:dyDescent="0.3">
      <c r="A64" s="5"/>
      <c r="D64">
        <v>72</v>
      </c>
      <c r="Q64" s="13"/>
      <c r="R64" s="5"/>
    </row>
    <row r="65" spans="1:4" x14ac:dyDescent="0.3">
      <c r="A65" s="5"/>
      <c r="D65">
        <v>73</v>
      </c>
    </row>
    <row r="66" spans="1:4" x14ac:dyDescent="0.3">
      <c r="A66" s="5"/>
      <c r="D66">
        <v>74</v>
      </c>
    </row>
    <row r="67" spans="1:4" x14ac:dyDescent="0.3">
      <c r="A67" s="5"/>
      <c r="D67">
        <v>75</v>
      </c>
    </row>
    <row r="68" spans="1:4" x14ac:dyDescent="0.3">
      <c r="A68" s="5"/>
      <c r="D68">
        <v>76</v>
      </c>
    </row>
    <row r="69" spans="1:4" x14ac:dyDescent="0.3">
      <c r="A69" s="5"/>
      <c r="D69">
        <v>77</v>
      </c>
    </row>
    <row r="70" spans="1:4" x14ac:dyDescent="0.3">
      <c r="A70" s="5"/>
      <c r="D70">
        <v>78</v>
      </c>
    </row>
    <row r="71" spans="1:4" x14ac:dyDescent="0.3">
      <c r="A71" s="5"/>
      <c r="D71">
        <v>79</v>
      </c>
    </row>
    <row r="72" spans="1:4" x14ac:dyDescent="0.3">
      <c r="A72" s="5"/>
      <c r="D72">
        <v>80</v>
      </c>
    </row>
    <row r="73" spans="1:4" x14ac:dyDescent="0.3">
      <c r="A73" s="5"/>
      <c r="D73">
        <v>81</v>
      </c>
    </row>
    <row r="74" spans="1:4" x14ac:dyDescent="0.3">
      <c r="A74" s="5"/>
      <c r="D74">
        <v>82</v>
      </c>
    </row>
    <row r="75" spans="1:4" x14ac:dyDescent="0.3">
      <c r="A75" s="5"/>
      <c r="D75">
        <v>83</v>
      </c>
    </row>
    <row r="76" spans="1:4" x14ac:dyDescent="0.3">
      <c r="A76" s="5"/>
      <c r="D76">
        <v>84</v>
      </c>
    </row>
    <row r="77" spans="1:4" x14ac:dyDescent="0.3">
      <c r="A77" s="5"/>
      <c r="D77">
        <v>85</v>
      </c>
    </row>
    <row r="78" spans="1:4" x14ac:dyDescent="0.3">
      <c r="A78" s="5"/>
      <c r="D78">
        <v>86</v>
      </c>
    </row>
    <row r="79" spans="1:4" x14ac:dyDescent="0.3">
      <c r="A79" s="5"/>
      <c r="D79">
        <v>87</v>
      </c>
    </row>
    <row r="80" spans="1:4" x14ac:dyDescent="0.3">
      <c r="A80" s="5"/>
      <c r="D80">
        <v>88</v>
      </c>
    </row>
    <row r="81" spans="1:4" x14ac:dyDescent="0.3">
      <c r="A81" s="5"/>
      <c r="D81">
        <v>89</v>
      </c>
    </row>
    <row r="82" spans="1:4" x14ac:dyDescent="0.3">
      <c r="A82" s="5"/>
      <c r="D82">
        <v>90</v>
      </c>
    </row>
    <row r="83" spans="1:4" x14ac:dyDescent="0.3">
      <c r="A83" s="5"/>
      <c r="D83">
        <v>91</v>
      </c>
    </row>
    <row r="84" spans="1:4" x14ac:dyDescent="0.3">
      <c r="A84" s="5"/>
      <c r="D84">
        <v>92</v>
      </c>
    </row>
    <row r="85" spans="1:4" x14ac:dyDescent="0.3">
      <c r="A85" s="5"/>
      <c r="D85">
        <v>93</v>
      </c>
    </row>
    <row r="86" spans="1:4" x14ac:dyDescent="0.3">
      <c r="A86" s="5"/>
      <c r="D86">
        <v>94</v>
      </c>
    </row>
    <row r="87" spans="1:4" x14ac:dyDescent="0.3">
      <c r="A87" s="5"/>
      <c r="D87">
        <v>95</v>
      </c>
    </row>
    <row r="88" spans="1:4" x14ac:dyDescent="0.3">
      <c r="A88" s="5"/>
      <c r="D88">
        <v>96</v>
      </c>
    </row>
    <row r="89" spans="1:4" x14ac:dyDescent="0.3">
      <c r="A89" s="5"/>
      <c r="D89">
        <v>97</v>
      </c>
    </row>
    <row r="90" spans="1:4" x14ac:dyDescent="0.3">
      <c r="A90" s="5"/>
      <c r="D90">
        <v>98</v>
      </c>
    </row>
    <row r="91" spans="1:4" x14ac:dyDescent="0.3">
      <c r="A91" s="5"/>
      <c r="D91">
        <v>99</v>
      </c>
    </row>
    <row r="92" spans="1:4" x14ac:dyDescent="0.3">
      <c r="A92" s="5"/>
      <c r="D92">
        <v>100</v>
      </c>
    </row>
    <row r="93" spans="1:4" x14ac:dyDescent="0.3">
      <c r="A93" s="5"/>
    </row>
    <row r="94" spans="1:4" x14ac:dyDescent="0.3">
      <c r="A94" s="5"/>
    </row>
    <row r="95" spans="1:4" x14ac:dyDescent="0.3">
      <c r="A95" s="5"/>
    </row>
    <row r="96" spans="1:4" x14ac:dyDescent="0.3">
      <c r="A96" s="5"/>
    </row>
    <row r="97" spans="1:1" x14ac:dyDescent="0.3">
      <c r="A97" s="5"/>
    </row>
    <row r="98" spans="1:1" x14ac:dyDescent="0.3">
      <c r="A98" s="5"/>
    </row>
    <row r="99" spans="1:1" x14ac:dyDescent="0.3">
      <c r="A99" s="5"/>
    </row>
    <row r="100" spans="1:1" x14ac:dyDescent="0.3">
      <c r="A100" s="5"/>
    </row>
    <row r="101" spans="1:1" x14ac:dyDescent="0.3">
      <c r="A101" s="5"/>
    </row>
    <row r="102" spans="1:1" x14ac:dyDescent="0.3">
      <c r="A102" s="5"/>
    </row>
    <row r="103" spans="1:1" x14ac:dyDescent="0.3">
      <c r="A103" s="5"/>
    </row>
    <row r="104" spans="1:1" x14ac:dyDescent="0.3">
      <c r="A104" s="5"/>
    </row>
    <row r="105" spans="1:1" x14ac:dyDescent="0.3">
      <c r="A105" s="5"/>
    </row>
    <row r="106" spans="1:1" x14ac:dyDescent="0.3">
      <c r="A106" s="5"/>
    </row>
    <row r="107" spans="1:1" x14ac:dyDescent="0.3">
      <c r="A107" s="5"/>
    </row>
    <row r="108" spans="1:1" x14ac:dyDescent="0.3">
      <c r="A108" s="5"/>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5.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Props1.xml><?xml version="1.0" encoding="utf-8"?>
<ds:datastoreItem xmlns:ds="http://schemas.openxmlformats.org/officeDocument/2006/customXml" ds:itemID="{AAF567B0-53AE-4976-9FEF-74BC92060D80}">
  <ds:schemaRefs>
    <ds:schemaRef ds:uri="http://schemas.microsoft.com/DataMashup"/>
  </ds:schemaRefs>
</ds:datastoreItem>
</file>

<file path=customXml/itemProps2.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4.xml><?xml version="1.0" encoding="utf-8"?>
<ds:datastoreItem xmlns:ds="http://schemas.openxmlformats.org/officeDocument/2006/customXml" ds:itemID="{D95EDFCC-17C6-45ED-BE18-15C465AE308F}">
  <ds:schemaRefs>
    <ds:schemaRef ds:uri="http://schemas.microsoft.com/office/2006/metadata/properties"/>
    <ds:schemaRef ds:uri="http://schemas.microsoft.com/office/infopath/2007/PartnerControls"/>
    <ds:schemaRef ds:uri="2abf2189-68c2-4ddb-adff-1183eca9c339"/>
    <ds:schemaRef ds:uri="4e83f676-8cd4-4cac-9a4e-1c9624eae427"/>
  </ds:schemaRefs>
</ds:datastoreItem>
</file>

<file path=customXml/itemProps5.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 id="{9ed55846-8a81-4246-acd8-b1a01abfc0d1}" enabled="0" method="" siteId="{9ed55846-8a81-4246-acd8-b1a01abfc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AnnualCounts</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YoR</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Reid, Andrew AR [NC]</cp:lastModifiedBy>
  <cp:revision/>
  <dcterms:created xsi:type="dcterms:W3CDTF">2024-04-02T17:30:06Z</dcterms:created>
  <dcterms:modified xsi:type="dcterms:W3CDTF">2025-07-08T21:07:50Z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