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tables/table4.xml" ContentType="application/vnd.openxmlformats-officedocument.spreadsheetml.table+xml"/>
  <Override PartName="/xl/drawings/drawing10.xml" ContentType="application/vnd.openxmlformats-officedocument.drawing+xml"/>
  <Override PartName="/xl/tables/table5.xml" ContentType="application/vnd.openxmlformats-officedocument.spreadsheetml.table+xml"/>
  <Override PartName="/xl/queryTables/queryTable2.xml" ContentType="application/vnd.openxmlformats-officedocument.spreadsheetml.query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C:\Users\andrew.reid\Documents\speed comp\"/>
    </mc:Choice>
  </mc:AlternateContent>
  <xr:revisionPtr revIDLastSave="0" documentId="13_ncr:1_{8D1E5814-FE5A-4EA9-B698-984B6B03E34E}" xr6:coauthVersionLast="47" xr6:coauthVersionMax="47" xr10:uidLastSave="{00000000-0000-0000-0000-000000000000}"/>
  <bookViews>
    <workbookView xWindow="-108" yWindow="-108" windowWidth="23256" windowHeight="12576" tabRatio="916" xr2:uid="{B31DFA44-6D76-4043-A2DA-831727713083}"/>
  </bookViews>
  <sheets>
    <sheet name="Read Me" sheetId="51" r:id="rId1"/>
    <sheet name="Initiative" sheetId="1" r:id="rId2"/>
    <sheet name="Stakeholders" sheetId="8" r:id="rId3"/>
    <sheet name="Activities" sheetId="6" r:id="rId4"/>
    <sheet name="One-for-one" sheetId="9" r:id="rId5"/>
    <sheet name="SBL" sheetId="19" r:id="rId6"/>
    <sheet name="Annual impact" sheetId="52" r:id="rId7"/>
    <sheet name="Cost-benefit Statement" sheetId="49" r:id="rId8"/>
    <sheet name="Labour" sheetId="18" r:id="rId9"/>
    <sheet name="CPI" sheetId="4" r:id="rId10"/>
    <sheet name="All" sheetId="22" r:id="rId11"/>
    <sheet name="Controls" sheetId="10" r:id="rId12"/>
  </sheets>
  <definedNames>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_xlnm._FilterDatabase" localSheetId="3" hidden="1">Activities!#REF!</definedName>
    <definedName name="_xlnm._FilterDatabase" localSheetId="10" hidden="1">All!$B$1:$X$11</definedName>
    <definedName name="_xlnm._FilterDatabase" localSheetId="2" hidden="1">Stakeholders!#REF!</definedName>
    <definedName name="ABD" comment="Annual Benefits Discounted">_xlfn.LET(_xlpm.x, SUMIFS(L_DIAS, L_IO, "Benefit", L_Yrs, Yrs)*M, _xlfn.HSTACK(IF('Annual impact'!$C$12="Discounting", "Benefits", "Discounted"), _xlpm.x, SUM(_xlpm.x), SUM(_xlpm.x)*AF))</definedName>
    <definedName name="ABU" comment="Annual Benefits Undiscounted">_xlfn.LET(_xlpm.x, SUMIFS(L_UIAS, L_IO, "Benefit", L_Yrs, Yrs)*M, _xlfn.HSTACK(IF('Annual impact'!$C$12="Discounting", "Benefits", "Undiscounted"), _xlpm.x, SUM(_xlpm.x), "N/A"))</definedName>
    <definedName name="ACD" comment="Annual (breakdown of) Costs Discounted">_xlfn.LET(_xlpm.x, -SUMIFS(L_DIAS, L_IO, "Cost", L_Yrs, Yrs)*M, _xlfn.HSTACK(IF('Annual impact'!$C$12="Discounting", "Costs", "Discounted"), _xlpm.x, SUM(_xlpm.x), SUM(_xlpm.x)*AF))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YearOfRegistration+Time-1, tbl_Activities[Start Year])),  _xlpm.End, IF(tbl_Activities[End Year]="Start of Analytical Period", YearOfRegistration, IF(tbl_Activities[End Year]="End of Analytical Period", YearOfRegistration+Time-1,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CU" comment="Annual (breakdown of) Costs Undiscounted">_xlfn.LET(_xlpm.x, -SUMIFS(L_UIAS, L_IO, "Cost", L_Yrs, Yrs)*M, _xlfn.HSTACK(IF('Annual impact'!$C$12="Discounting", "Costs", "Undiscounted"), _xlpm.x, SUM(_xlpm.x), "N/A"))</definedName>
    <definedName name="AF">Controls!$O$4</definedName>
    <definedName name="AF_7_10">Controls!$O$3</definedName>
    <definedName name="AffectedGroup">MATCH(INDEX(tbl_Activities[Affected Stakeholder Group],_xlfn.ANCHORARRAY( All!$A$2)), tbl_Stakeholders[Stakeholder Group], 0)</definedName>
    <definedName name="AND" comment="Annual Net Discounted">_xlfn.LET(_xlpm.x, SUMIFS(L_DIAS, L_Yrs, Yrs)*M, _xlfn.HSTACK(IF('Annual impact'!$C$12="Discounting", "Net", "Discounted"), _xlpm.x, SUM(_xlpm.x), SUM(_xlpm.x)*AF))</definedName>
    <definedName name="AnnualImpactLanding">'Annual impact'!$B$2</definedName>
    <definedName name="AnnualStakeholderCounts">Stakeholders!$Y$5</definedName>
    <definedName name="ANU" comment="Annual Net Undiscounted">_xlfn.LET(_xlpm.x, SUMIFS(L_UIAS, L_Yrs, Yrs)*M, _xlfn.HSTACK(IF('Annual impact'!$C$12="Discounting", "Net", "Undiscounted"), _xlpm.x, SUM(_xlpm.x), "N/A"))</definedName>
    <definedName name="APPLYTOALL">_xlfn.LAMBDA(_xlpm.SelectAnyActivity, _xlfn.LET(_xlpm.FilteredStakeholders, _xlfn._xlws.FILTER(tbl_Stakeholders[Stakeholder Group], tbl_Stakeholders[Stakeholder Group]&lt;&gt;""), _xlfn.MAKEARRAY(ROWS(_xlpm.FilteredStakeholders)-1, COLUMNS(tbl_Activities[])-2, _xlfn.LAMBDA(_xlpm.r,_xlpm.c,      IF(_xlpm.c=7, INDEX(_xlfn.TAKE(_xlfn.DROP(_xlfn._xlws.SORT(_xlfn.HSTACK(_xlpm.FilteredStakeholders, IF(tbl_Stakeholders[Stakeholder Group]=INDEX(tbl_Activities[], ROW(_xlpm.SelectAnyActivity)-ROW(tbl_Activities[#Headers]), 7), 1, 0)), 2), -1),,1), _xlpm.r),      INDEX(_xlfn.DROP(tbl_Activities[], , -2), ROW(_xlpm.SelectAnyActivity)-ROW(tbl_Activities[#Headers]), _xlpm.c))))))</definedName>
    <definedName name="APPLYTOMANY" comment="Activity, [Stakeholder1, Stakeholder2, ..., Stakeholder48]">_xlfn.LAMBDA(_xlpm.a,_xlop.b,_xlop.c,_xlop.d,_xlop.e,_xlop.f,_xlop.g,_xlop.h,_xlop.i,_xlop.j,_xlop.k,_xlop.l,_xlop.m,_xlop.n,_xlop.o,_xlop.p,_xlop.q,_xlop.r,_xlop.s,_xlop.t,_xlop.u,_xlop.v,_xlop.w,_xlop.x,_xlop.y,_xlop.z,_xlop.aa,_xlop.ab,_xlop.ac,_xlop.ad,_xlop.ae,_xlop.af,_xlop.ag,_xlop.ah,_xlop.ai,_xlop.aj,_xlop.ak,_xlop.al,_xlop.am,_xlop.an,_xlop.ao,_xlop.ap,_xlop.aq,_xlop.ar,_xlop.as,_xlop.at,_xlop.au,_xlop.av,_xlop.aw,_xlfn.LET(_xlpm.b_,NOT(_xlfn.ISOMITTED(_xlpm.b)),_xlpm.c_,NOT(_xlfn.ISOMITTED(_xlpm.c)),_xlpm.d_,NOT(_xlfn.ISOMITTED(_xlpm.d)),_xlpm.e_,NOT(_xlfn.ISOMITTED(_xlpm.e)),_xlpm.f_,NOT(_xlfn.ISOMITTED(_xlpm.f)),_xlpm.g_,NOT(_xlfn.ISOMITTED(_xlpm.g)),_xlpm.h_,NOT(_xlfn.ISOMITTED(_xlpm.h)),_xlpm.i_,NOT(_xlfn.ISOMITTED(_xlpm.i)),_xlpm.j_,NOT(_xlfn.ISOMITTED(_xlpm.j)),_xlpm.k_,NOT(_xlfn.ISOMITTED(_xlpm.k)),_xlpm.l_,NOT(_xlfn.ISOMITTED(_xlpm.l)),_xlpm.m_,NOT(_xlfn.ISOMITTED(_xlpm.m)),_xlpm.n_,NOT(_xlfn.ISOMITTED(_xlpm.n)),_xlpm.o_,NOT(_xlfn.ISOMITTED(_xlpm.o)),_xlpm.p_,NOT(_xlfn.ISOMITTED(_xlpm.p)),_xlpm.q_,NOT(_xlfn.ISOMITTED(_xlpm.q)),_xlpm.r_,NOT(_xlfn.ISOMITTED(_xlpm.r)),_xlpm.s_,NOT(_xlfn.ISOMITTED(_xlpm.s)),_xlpm.t_,NOT(_xlfn.ISOMITTED(_xlpm.t)),_xlpm.u_,NOT(_xlfn.ISOMITTED(_xlpm.u)),_xlpm.v_,NOT(_xlfn.ISOMITTED(_xlpm.v)),_xlpm.w_,NOT(_xlfn.ISOMITTED(_xlpm.w)),_xlpm.x_,NOT(_xlfn.ISOMITTED(_xlpm.x)),_xlpm.y_,NOT(_xlfn.ISOMITTED(_xlpm.y)),_xlpm.z_,NOT(_xlfn.ISOMITTED(_xlpm.z)),_xlpm.aa_,NOT(_xlfn.ISOMITTED(_xlpm.aa)),_xlpm.ab_,NOT(_xlfn.ISOMITTED(_xlpm.ab)),_xlpm.ac_,NOT(_xlfn.ISOMITTED(_xlpm.ac)),_xlpm.ad_,NOT(_xlfn.ISOMITTED(_xlpm.ad)),_xlpm.ae_,NOT(_xlfn.ISOMITTED(_xlpm.ae)),_xlpm.af_,NOT(_xlfn.ISOMITTED(_xlpm.af)),_xlpm.ag_,NOT(_xlfn.ISOMITTED(_xlpm.ag)),_xlpm.ah_,NOT(_xlfn.ISOMITTED(_xlpm.ah)),_xlpm.ai_,NOT(_xlfn.ISOMITTED(_xlpm.ai)),_xlpm.aj_,NOT(_xlfn.ISOMITTED(_xlpm.aj)),_xlpm.ak_,NOT(_xlfn.ISOMITTED(_xlpm.ak)),_xlpm.al_,NOT(_xlfn.ISOMITTED(_xlpm.al)),_xlpm.am_,NOT(_xlfn.ISOMITTED(_xlpm.am)),_xlpm.an_,NOT(_xlfn.ISOMITTED(_xlpm.an)),_xlpm.ao_,NOT(_xlfn.ISOMITTED(_xlpm.ao)),_xlpm.ap_,NOT(_xlfn.ISOMITTED(_xlpm.ap)),_xlpm.aq_,NOT(_xlfn.ISOMITTED(_xlpm.aq)),_xlpm.ar_,NOT(_xlfn.ISOMITTED(_xlpm.ar)),_xlpm.as_,NOT(_xlfn.ISOMITTED(_xlpm.as)),_xlpm.at_,NOT(_xlfn.ISOMITTED(_xlpm.at)),_xlpm.au_,NOT(_xlfn.ISOMITTED(_xlpm.au)),_xlpm.av_,NOT(_xlfn.ISOMITTED(_xlpm.av)),_xlpm.aw_,NOT(_xlfn.ISOMITTED(_xlpm.aw)),_xlpm.prs, _xlpm.b_+_xlpm.c_+_xlpm.d_+_xlpm.e_+_xlpm.f_+_xlpm.g_+_xlpm.h_+_xlpm.i_+_xlpm.j_+_xlpm.k_+_xlpm.l_+_xlpm.m_+_xlpm.n_+_xlpm.o_+_xlpm.p_+_xlpm.q_+_xlpm.r_+_xlpm.s_+_xlpm.t_+_xlpm.u_+_xlpm.v_+_xlpm.w_+_xlpm.x_+_xlpm.y_+_xlpm.z_+_xlpm.aa_+_xlpm.ab_+_xlpm.ac_+_xlpm.ad_+_xlpm.ae_+_xlpm.af_+_xlpm.ag_+_xlpm.ah_+_xlpm.ai_+_xlpm.aj_+_xlpm.ak_+_xlpm.al_+_xlpm.am_+_xlpm.an_+_xlpm.ao_+_xlpm.ap_+_xlpm.aq_+_xlpm.ar_+_xlpm.as_+_xlpm.at_+_xlpm.au_+_xlpm.av_+_xlpm.aw_,_xlfn.MAKEARRAY(_xlpm.prs,19,_xlfn.LAMBDA(_xlpm.rr,_xlpm.cc,IF(_xlpm.cc=7,INDEX(_xlfn.TAKE(_xlfn.VSTACK(IF(_xlpm.b_,_xlpm.b),IF(_xlpm.c_,_xlpm.c),IF(_xlpm.d_,_xlpm.d),IF(_xlpm.e_,_xlpm.e),IF(_xlpm.f_,_xlpm.f),IF(_xlpm.g_,_xlpm.g),IF(_xlpm.h_,_xlpm.h),IF(_xlpm.i_,_xlpm.i),IF(_xlpm.j_,_xlpm.j),IF(_xlpm.k_,_xlpm.k),IF(_xlpm.l_,_xlpm.l),IF(_xlpm.m_,_xlpm.m),IF(_xlpm.n_,_xlpm.n),IF(_xlpm.o_,_xlpm.o),IF(_xlpm.p_,_xlpm.p),IF(_xlpm.q_,_xlpm.q),IF(_xlpm.r_,_xlpm.r),IF(_xlpm.s_,_xlpm.s),IF(_xlpm.t_,_xlpm.t),IF(_xlpm.u_,_xlpm.u),IF(_xlpm.v_,_xlpm.v),IF(_xlpm.w_,_xlpm.w),IF(_xlpm.x_,_xlpm.x),IF(_xlpm.y_,_xlpm.y),IF(_xlpm.z_,_xlpm.z),IF(_xlpm.aa_,_xlpm.aa),IF(_xlpm.ab_,_xlpm.ab),IF(_xlpm.ac_,_xlpm.ac),IF(_xlpm.ad_,_xlpm.ad),IF(_xlpm.ae_,_xlpm.ae),IF(_xlpm.af_,_xlpm.af),IF(_xlpm.ag_,_xlpm.ag),IF(_xlpm.ah_,_xlpm.ah),IF(_xlpm.ai_,_xlpm.ai),IF(_xlpm.aj_,_xlpm.aj),IF(_xlpm.ak_,_xlpm.ak),IF(_xlpm.al_,_xlpm.al),IF(_xlpm.am_,_xlpm.am),IF(_xlpm.an_,_xlpm.an),IF(_xlpm.ao_,_xlpm.ao),IF(_xlpm.ap_,_xlpm.ap),IF(_xlpm.aq_,_xlpm.aq),IF(_xlpm.ar_,_xlpm.ar),IF(_xlpm.as_,_xlpm.as),IF(_xlpm.at_,_xlpm.at),IF(_xlpm.au_,_xlpm.au),IF(_xlpm.av_,_xlpm.av),IF(_xlpm.aw_,_xlpm.aw)),_xlpm.prs),_xlpm.rr),INDEX(tbl_Activities[], ROW(_xlpm.a)-ROW(tbl_Activities[#Headers]), _xlpm.cc))))))</definedName>
    <definedName name="B">_xlfn.VSTACK("", "")</definedName>
    <definedName name="ba">'Annual impact'!$C$10="By Activity"</definedName>
    <definedName name="bas">'Annual impact'!$C$10="By Activity &amp; Stakeholder"</definedName>
    <definedName name="BreakdownList">_xlfn.ANCHORARRAY(Controls!$BU$2)</definedName>
    <definedName name="bs">'Annual impact'!$C$10="By Stakeholder"</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Compliance]&lt;&gt;"")*(tbl_Activities[Cost or Benefit]&lt;&gt;"")*(tbl_Activities[Upfront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Frequency]&lt;&gt;"")*IF(IF(tbl_Activities[Capital or Labour]="Capital", (tbl_Activities[Capital: Number of Units]&lt;&gt;"")*(tbl_Activities[Capital: Unit Price]&lt;&gt;"")*(tbl_Activities[Capital: Price Year of Unit Price]&lt;&gt;""), (tbl_Activities[Labour: Time Spent (hours)]&lt;&gt;"")*(tbl_Activities[Labour: Staff Level (Hourly Wage Without Overhead)]&lt;&gt;"")=1), 1, 0)</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Row],[Cost or Benefit]]&lt;&gt;"")*(tbl_Activities[[#This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(Hourly Wage Without Overhead)]]&lt;&gt;""))=1, 0, 1)</definedName>
    <definedName name="CheckCustomWage">IF(ISBLANK(tbl_Activities[[#This Row],[Labour: Staff Level (Hourly Wage Without Overhead)]]), 0, IF(ISERROR(_xlfn.TEXTBEFORE(tbl_Activities[[#This Row],[Labour: Staff Level (Hourly Wage Without Overhead)]], " ")), 1, 0))</definedName>
    <definedName name="CheckHighFreq">IF(tbl_Activities[[#This Row],[Capital or Labour]]="", 0, IF(tbl_Activities[[#This Row],[Annual Frequency]]&gt;12, 1, 0))</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IF(SUMIFS(_xlfn.ANCHORARRAY(All!$W$2),_xlfn.ANCHORARRAY(All!$A$2),ROW(Activities!$B1)-ROW(Activities!$B$12))=0,1,0)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PartiallyBlank">IF(tbl_Activities[[#This Row],[Capital or Labour]]="", IF(SUM(--ISBLANK(tbl_Activities[[#This Row],[Activity]:[Labour: Staff Level (Hourly Wage Without Overhead)]]))&lt;19, 1, 0),  IF(tbl_Activities[[#This Row],[Capital or Labour]]="Labour", IF(SUM(--ISBLANK(tbl_Activities[[#This Row],[Activity]:[Apply to New Entrants]]), --ISBLANK(tbl_Activities[[#This Row],[Annual Frequency]:[Labour: Time Spent (hours)]]), --ISBLANK(tbl_Activities[[#This Row],[Labour: Staff Level (Hourly Wage Without Overhead)]]))&gt;0, 1, 0),  IF(SUM(--ISBLANK(tbl_Activities[[#This Row],[Activity]:[Annual Frequency]]))&gt;0, 1, 0)))</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IF(tbl_Activities[[#This Row],[Start Year]]="Start of Analytical Period", YearOfRegistration, IF(tbl_Activities[[#This Row],[Start Year]]="End of Analytical Period", YearOfRegistration+Time-1, tbl_Activities[[#This Row],[Start Year]])), _xlpm.End, IF(tbl_Activities[[#This Row],[End Year]]="Start of Analytical Period", YearOfRegistration, IF(tbl_Activities[[#This Row],[End Year]]="End of Analytical Period", YearOfRegistration+Time-1, tbl_Activities[[#This Row],[End Year]])), IF(_xlpm.Start&gt;_xlpm.End, 1, 0))</definedName>
    <definedName name="CheckTotallyBlank">IF(SUM(--ISBLANK(tbl_Activities[[#This Row],[Activity]:[Labour: Staff Level (Hourly Wage Without Overhead)]]))=19, 1, 0)</definedName>
    <definedName name="CheckUpfrontFreq">IF(tbl_Activities[[#This Row],[Annual Frequency]]="", 0, IF(--(tbl_Activities[[#This Row],[Upfront or  Ongoing]]="Upfront")+--(tbl_Activities[[#This Row],[Annual Frequency]]&lt;&gt;1)=2, 1, 0))</definedName>
    <definedName name="CheckWages">IFERROR(IF(_xlfn.TEXTBEFORE(_xlfn.TEXTAFTER(tbl_Activities[[#This Row],[Labour: Staff Level (Hourly Wage Without Overhead)]], "($"), ")")=INDEX(_xlfn.TEXTBEFORE(_xlfn.TEXTAFTER(_xlfn.ANCHORARRAY(Controls!$I$2), "($"), ")"), MATCH(_xlfn.TEXTBEFORE(tbl_Activities[[#This Row],[Labour: Staff Level (Hourly Wage Without Overhead)]], " ($"), _xlfn.TEXTBEFORE(_xlfn.ANCHORARRAY(Controls!$I$2), " ($"), 0)), 0, 1), "")</definedName>
    <definedName name="CONV" comment="This function converts a value's units of measurement into the Price Year established on the Initiative Sheet. Enter the value and the initial price year. ">_xlfn.LAMBDA(_xlpm.Value,_xlpm.OriginYear, IF(ISERROR(_xlpm.Value), "Something is wrong with the value you are trying to convert", IF(ISERROR(INDEX(tbl_CPI[Index],MATCH(_xlpm.OriginYear,tbl_CPI[Year],0))), "The origin year could not be found in the CPI table", _xlpm.Value*INDEX(tbl_CPI[Index],MATCH(PriceYear,tbl_CPI[Year],0))/INDEX(tbl_CPI[Index],MATCH(_xlpm.OriginYear,tbl_CPI[Year],0)))))</definedName>
    <definedName name="CostBenefitStatementLanding">'Cost-benefit Statement'!$B$2</definedName>
    <definedName name="Custom_Labour">Labour!$D$66</definedName>
    <definedName name="DIBS" comment="Discounted Impacts by Stakeholder Group (impacts by column per non-blank stakeholder group)">_xlfn.TAKE(_xlfn.ANCHORARRAY(All!$AI$2),, -NGroups)</definedName>
    <definedName name="Discount">Initiative!$D$14</definedName>
    <definedName name="dmt">"Discounted"&amp;M_txt</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9" hidden="1">CPI!$C$14:$D$37</definedName>
    <definedName name="ExternalData_2" localSheetId="0" hidden="1">'Read Me'!$C$23:$C$24</definedName>
    <definedName name="ez">'Annual impact'!$C$10="Simple"</definedName>
    <definedName name="foD">_xlfn.TAKE(_xlfn.ANCHORARRAY(All!$AI$2),, -NGroups)</definedName>
    <definedName name="Groups">_xlfn.UNIQUE(_xlfn._xlws.FILTER(tbl_Stakeholders[Stakeholder Group], tbl_Stakeholders[Stakeholder Group]&lt;&gt;""))</definedName>
    <definedName name="hd">_xlfn.HSTACK(IF(ba, "Activity", IF(bs, "Stakeholder Group", {"Stakeholder Group","Activity"})), YrsHdr_D)</definedName>
    <definedName name="hu">_xlfn.HSTACK(IF(ba, "Activity", IF(bs, "Stakeholder Group", {"Stakeholder Group","Activity"})), YrsHdr_U)</definedName>
    <definedName name="id" comment="header for In Discounted (Annual Impact summary table)">"Costs, Discounted"&amp;M_txt</definedName>
    <definedName name="imt">"Costs"&amp;M_txt</definedName>
    <definedName name="IN_AS">_xlfn.LET( _xlpm.Stakeholders, _xlfn.UNIQUE(_xlfn._xlws.FILTER(tbl_Stakeholders[Stakeholder Group], tbl_Stakeholders[Stakeholder Group]&lt;&gt;"")), _xlpm.Activities, _xlfn.UNIQUE(_xlfn._xlws.FILTER(tbl_Activities[Activity], (tbl_Activities[Affected Stakeholder Group]="All Groups")*(tbl_Activities[Cost or Benefit]="Cost")*Checkblank)), _xlpm.nAllGroups, COUNTIFS(tbl_Activities[Affected Stakeholder Group], "All Groups", tbl_Activities[Cost or Benefit], "Cost"), _xlpm.nOneGroup, COUNTIFS(tbl_Activities[Affected Stakeholder Group], "&lt;&gt;All Groups", tbl_Activities[Cost or Benefit], "Cost"),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Groups")*(tbl_Activities[Cost or Benefit]="Cost")*Checkblank)),  _xlpm.z, IF(_xlpm.nAllGroups=0, _xlpm.y, IF(_xlpm.nOneGroup=0, _xlpm.x, _xlfn.VSTACK(_xlpm.x, _xlpm.y))),  _xlpm.w, _xlfn.UNIQUE(_xlpm.z),  _xlpm.k, _xlfn.SORTBY(_xlpm.w, _xlfn.MAP(_xlfn.TAKE(_xlpm.w, , -1), _xlfn.LAMBDA(_xlpm.x, MATCH(_xlpm.x, tbl_Activities[Activity], 0)))),  _xlpm.k)</definedName>
    <definedName name="InitiativeDetailsLanding">Initiative!$C$4</definedName>
    <definedName name="Introduced_Formula">_xlfn.XLOOKUP(Initiative!$D$5,Controls!$P$22:$P$26,Controls!$R$22:$R$26,"",0,1)</definedName>
    <definedName name="iu" comment="in undiscounted header for Annual Impact summary tables">"Costs, Undiscounted"&amp;M_txt</definedName>
    <definedName name="L">'Annual impact'!$C$14="Columns"</definedName>
    <definedName name="L_A" comment="List of Activities (with repetition for all periods)">_xlfn.ANCHORARRAY(All!$B$2)</definedName>
    <definedName name="L_DIAS" comment="List of Discounted Impacts to All Stakeholders (all periods)">_xlfn.ANCHORARRAY(All!$W$2)</definedName>
    <definedName name="L_IO" comment="List of In or Out (with repetition for all periods)">_xlfn.ANCHORARRAY(All!$D$2)</definedName>
    <definedName name="L_UA">_xlfn.UNIQUE(_xlfn._xlws.FILTER(tbl_Activities[Activity], Checkblank))</definedName>
    <definedName name="L_UB" comment="List of Unique Benefits">_xlfn.UNIQUE(_xlfn._xlws.FILTER(tbl_Activities[Activity], (tbl_Activities[Cost or Benefit]="Benefit")*Checkblank))</definedName>
    <definedName name="L_UC" comment="List of unique costs">_xlfn.UNIQUE(_xlfn._xlws.FILTER(tbl_Activities[Activity], (tbl_Activities[Cost or Benefit]="Cost")*Checkblank))</definedName>
    <definedName name="L_UIAS" comment="List of Undiscounted Impacts to All Stakeholders">_xlfn.ANCHORARRAY(All!$R$2)</definedName>
    <definedName name="L_Yrs" comment="List of Years (with repetition for all periods)">_xlfn.ANCHORARRAY(All!$E$2)</definedName>
    <definedName name="List_Amendment_Repeal">Controls!$Q$22</definedName>
    <definedName name="List_New_Regulation_Repeal">Controls!$Q$23</definedName>
    <definedName name="List_Repeal_and_Replace_Repeal">Controls!$Q$25</definedName>
    <definedName name="List_Repeal_Only">Controls!$Q$24</definedName>
    <definedName name="M">1/10^IF('Annual impact'!$C$13="Millions", 6, IF('Annual impact'!$C$13="Billions", 9))</definedName>
    <definedName name="M_txt">IF('Annual impact'!$C$13="Millions", " ($ millions)", IF('Annual impact'!$C$13="Billions", " ($ billions)", ""))</definedName>
    <definedName name="nd">"NET, Discounted"&amp;M_txt</definedName>
    <definedName name="NET_AS">IF(NoOut, IN_AS, IF(NoIn, OUT_AS, _xlfn.UNIQUE(_xlfn.VSTACK(IN_AS, OUT_AS))))</definedName>
    <definedName name="NGroups">ROWS(Groups)</definedName>
    <definedName name="nmt">"Net"&amp;M_txt</definedName>
    <definedName name="NoErrors">IF(ROWS(tbl_Activities[])-COUNTIF(tbl_Activities[Error Check], "Ensure*")-COUNTIF(tbl_Activities[Error Check], "Consider*")-COUNTIF(tbl_Activities[Error Check], "This activity does not result in any incremental impact. ")-COUNTBLANK(tbl_Activities[Error Check])=0, 1, 0)</definedName>
    <definedName name="NoIn">SUM(--(_xlfn._xlws.FILTER(tbl_Activities[Cost or Benefit]="Cost", Checkblank)))=0</definedName>
    <definedName name="NoOut">SUM(--(_xlfn._xlws.FILTER(tbl_Activities[Cost or Benefit]="Benefit", Checkblank)))=0</definedName>
    <definedName name="NoSBImpacts">COUNTIF(_xlfn.ANCHORARRAY(All!$O$2), "&lt;&gt;0")=0</definedName>
    <definedName name="nu">"NET, Undiscounted"&amp;M_txt</definedName>
    <definedName name="od" comment="out discounted header for summary table Annual Impact">"Benefits, Discounted"&amp;M_txt</definedName>
    <definedName name="omt">"Benefits"&amp;M_txt</definedName>
    <definedName name="OneError">IF(ROWS(tbl_Activities[])-COUNTIF(tbl_Activities[Error Check], "Ensure*")-COUNTBLANK(tbl_Activities[Error Check])=1, 1, 0)</definedName>
    <definedName name="OneforOne_CPI_Conversion">INDEX(tbl_CPI[Index], MATCH(2012, tbl_CPI[Year], 0))/INDEX(tbl_CPI[Index], MATCH(PriceYear, tbl_CPI[Year], 0))</definedName>
    <definedName name="OneForOneLanding">'One-for-one'!$C$17</definedName>
    <definedName name="OneforOneText">Controls!$R$2</definedName>
    <definedName name="OneType">NoIn+NoOut=1</definedName>
    <definedName name="optional">Activities!$B$26:$B$206</definedName>
    <definedName name="ou" comment="out undiscounted header for Annual Impacts summary table">"Benefits, Undiscounted"&amp;M_txt</definedName>
    <definedName name="OUT_AS">_xlfn.LET( _xlpm.Stakeholders, _xlfn.UNIQUE(_xlfn._xlws.FILTER(tbl_Stakeholders[Stakeholder Group], tbl_Stakeholders[Stakeholder Group]&lt;&gt;"")), _xlpm.Activities, _xlfn.UNIQUE(_xlfn._xlws.FILTER(tbl_Activities[Activity], (tbl_Activities[Affected Stakeholder Group]="All Groups")*(tbl_Activities[Cost or Benefit]="Benefit")*Checkblank)), _xlpm.nAllGroups, COUNTIFS(tbl_Activities[Affected Stakeholder Group], "All Groups", tbl_Activities[Cost or Benefit], "Benefit"), _xlpm.nOneGroup, COUNTIFS(tbl_Activities[Affected Stakeholder Group], "&lt;&gt;All Groups", tbl_Activities[Cost or Benefit], "Benefit"),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Groups")*(tbl_Activities[Cost or Benefit]="Benefit")*Checkblank)), _xlpm.z, IF(_xlpm.nAllGroups=0, _xlpm.y, IF(_xlpm.nOneGroup=0, _xlpm.x, _xlfn.VSTACK(_xlpm.x, _xlpm.y))), _xlpm.w, _xlfn.UNIQUE(_xlpm.z), _xlpm.k, _xlfn.SORTBY(_xlpm.w, _xlfn.MAP(_xlfn.TAKE(_xlpm.w, , -1), _xlfn.LAMBDA(_xlpm.x, MATCH(_xlpm.x, tbl_Activities[Activity], 0)))), _xlpm.k)</definedName>
    <definedName name="OutputRows">ROWS(_xlfn.ANCHORARRAY(All!$A$2))</definedName>
    <definedName name="Periods">_xlfn.LET( _xlpm.Start, "Start of Analytical Period", _xlpm.End, "End of Analytical Period", _xlpm.Years, IF(tbl_Activities[Start Year]=tbl_Activities[End Year], 1, IF(--(tbl_Activities[Start Year]=_xlpm.Start)+--(tbl_Activities[End Year]=_xlpm.End)=2, Time, IF(tbl_Activities[Start Year]=_xlpm.Start, tbl_Activities[End Year]-YearOfRegistration+1, IF(--(tbl_Activities[Start Year]=_xlpm.End)+--(tbl_Activities[End Year]=YearOfRegistration+Time-1)=2, 1, IF(tbl_Activities[End Year]=_xlpm.End, YearOfRegistration+Time-tbl_Activities[Start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IF(tbl_Activities[Annual Frequency]&lt;1, 1, tbl_Activities[Annual Frequency])*_xlpm.Years)), 0))</definedName>
    <definedName name="PriceYear">Initiative!$D$10</definedName>
    <definedName name="PVBaseYear">Initiative!$D$12</definedName>
    <definedName name="Repealed_Formula">_xlfn.XLOOKUP(Initiative!$D$5,Controls!$P$22:$P$26,Controls!$Q$22:$Q18,"",0,1)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43</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UpdateDisplay" hidden="1">FALSE</definedName>
    <definedName name="RiskUseDifferentSeedForEachSim" hidden="1">FALSE</definedName>
    <definedName name="RiskUseFixedSeed" hidden="1">TRUE</definedName>
    <definedName name="RiskUseMultipleCPUs" hidden="1">FALSE</definedName>
    <definedName name="SBLLanding">SBL!$B$17</definedName>
    <definedName name="StakeholderCols">COUNTIF(tbl_Stakeholders[Stakeholder Group],"&lt;&gt;")</definedName>
    <definedName name="StakeholderProfileLanding">Stakeholders!$A$9</definedName>
    <definedName name="StakesIN">_xlfn.UNIQUE(_xlfn._xlws.FILTER(tbl_Activities[Affected Stakeholder Group], (tbl_Activities[Cost or Benefit]="In")*Checkblank))</definedName>
    <definedName name="StakesOUT">_xlfn.UNIQUE(_xlfn._xlws.FILTER(tbl_Activities[Affected Stakeholder Group], (tbl_Activities[Cost or Benefit]="Out")*Checkblank))</definedName>
    <definedName name="Tbl_NOc">Controls!$I$1:$I$57</definedName>
    <definedName name="tbl_Stakeholders_noblank">_xlfn._xlws.FILTER(tbl_Stakeholders[], tbl_Stakeholders[Stakeholder Group]&lt;&gt;"")</definedName>
    <definedName name="TenCount">Controls!$P$33:$P$43</definedName>
    <definedName name="Time">Initiative!$D$13</definedName>
    <definedName name="UIBS" comment="Undiscounted Impacts by Stakeholder (impacts by column per non-blank stakeholder group)">_xlfn.TAKE(_xlfn.ANCHORARRAY(All!$AI$2),, NGroups)</definedName>
    <definedName name="umt">"Undiscounted"&amp;M_txt</definedName>
    <definedName name="versiondate">'Read Me'!$D$18</definedName>
    <definedName name="WageLookup">IFERROR(INDEX(tbl_Wages[Wage in price year of analysis (without overhead)], MATCH(tbl_Activities[[#This Row],[Labour: Staff Level (Hourly Wage Without Overhead)]], tbl_Wages[National Occupational Classification (NOC)], 0))*(1+_xlfn.IFS(tbl_Activities[[#This Row],[Labour: Internal or External Overhead]]="Internal", 0.25, tbl_Activities[[#This Row],[Labour: Internal or External Overhead]]="External", 0.5, TRUE, 0)), "")</definedName>
    <definedName name="ww">_xlfn.HSTACK(IF(L, "Impact", "Year"), Yrs, "Total", "Annualized")</definedName>
    <definedName name="YearOfRegistration">Initiative!$D$11</definedName>
    <definedName name="Years_since_2012">PVBaseYear-2012</definedName>
    <definedName name="Yrs">_xlfn.SEQUENCE(,Time, YearOfRegistration)</definedName>
    <definedName name="YrsHdr_D">_xlfn.HSTACK(_xlfn.SEQUENCE(, Time, YearOfRegistration), "Total", "Annualized")</definedName>
    <definedName name="YrsHdr_U">_xlfn.HSTACK(_xlfn.SEQUENCE(, Time, YearOfRegistration), "Total")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 i="8" l="1"/>
  <c r="F11" i="8" l="1"/>
  <c r="G11" i="8" s="1"/>
  <c r="F10" i="8"/>
  <c r="G10" i="8" s="1"/>
  <c r="C6" i="52"/>
  <c r="BU2" i="10" a="1"/>
  <c r="BU2" i="10" s="1"/>
  <c r="B45" i="9"/>
  <c r="B44" i="9"/>
  <c r="B38" i="9"/>
  <c r="B37" i="9"/>
  <c r="B31" i="9"/>
  <c r="B30" i="9"/>
  <c r="F4" i="52" a="1"/>
  <c r="F4" i="52" s="1"/>
  <c r="M6" i="8" l="1" a="1"/>
  <c r="M6" i="8" s="1"/>
  <c r="P4" i="8" l="1" a="1"/>
  <c r="P4" i="8" s="1"/>
  <c r="O5" i="8" a="1"/>
  <c r="O5" i="8" s="1"/>
  <c r="N6" i="8" a="1"/>
  <c r="N6" i="8" s="1"/>
  <c r="C8" i="52" l="1"/>
  <c r="C9" i="52"/>
  <c r="C7" i="52"/>
  <c r="O6" i="10" l="1" a="1"/>
  <c r="O6" i="10" s="1"/>
  <c r="O5" i="10" l="1" a="1"/>
  <c r="O5" i="10" s="1"/>
  <c r="C5" i="19"/>
  <c r="O6" i="8" l="1" a="1"/>
  <c r="O6" i="8" s="1"/>
  <c r="P6" i="8" a="1"/>
  <c r="P6" i="8" s="1"/>
  <c r="A2" i="22" a="1"/>
  <c r="A2" i="22" s="1"/>
  <c r="AH1" i="22"/>
  <c r="AI1" i="22" a="1"/>
  <c r="AI1" i="22" s="1"/>
  <c r="AF2" i="22" l="1" a="1"/>
  <c r="AF2" i="22" s="1"/>
  <c r="H2" i="22" a="1"/>
  <c r="H2" i="22" s="1"/>
  <c r="F2" i="22" a="1"/>
  <c r="F2" i="22" s="1"/>
  <c r="I2" i="22" a="1"/>
  <c r="I2" i="22" s="1"/>
  <c r="AA2" i="22" a="1"/>
  <c r="AA2" i="22" s="1"/>
  <c r="AB2" i="22" a="1"/>
  <c r="AB2" i="22" s="1"/>
  <c r="C2" i="22" a="1"/>
  <c r="C2" i="22" s="1"/>
  <c r="B2" i="22" a="1"/>
  <c r="B2" i="22" s="1"/>
  <c r="Z2" i="22" a="1"/>
  <c r="Z2" i="22" s="1"/>
  <c r="G2" i="22" l="1" a="1"/>
  <c r="G2" i="22" s="1"/>
  <c r="J2" i="22" s="1" a="1"/>
  <c r="J2" i="22" s="1"/>
  <c r="D2" i="22" a="1"/>
  <c r="D2" i="22" s="1"/>
  <c r="E2" i="22" l="1" a="1"/>
  <c r="E2" i="22" s="1"/>
  <c r="AE2" i="22" a="1"/>
  <c r="AE2" i="22" s="1"/>
  <c r="AC2" i="22" a="1"/>
  <c r="AC2" i="22" s="1"/>
  <c r="D23" i="51" l="1" a="1"/>
  <c r="D23" i="51" s="1"/>
  <c r="C6" i="49" l="1"/>
  <c r="K2" i="10" a="1"/>
  <c r="K2" i="10" s="1"/>
  <c r="L2" i="10" s="1" a="1"/>
  <c r="L2" i="10" s="1"/>
  <c r="M2" i="10" s="1" a="1"/>
  <c r="M2" i="10" s="1"/>
  <c r="C8" i="49"/>
  <c r="C9" i="49"/>
  <c r="C7" i="49"/>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C5" i="9" l="1"/>
  <c r="A12" i="6" a="1"/>
  <c r="A12" i="6" s="1"/>
  <c r="A9" i="8" a="1"/>
  <c r="A9"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M2" i="22" l="1" a="1"/>
  <c r="M2" i="22" s="1"/>
  <c r="N2" i="22" s="1" a="1"/>
  <c r="N2" i="22" s="1"/>
  <c r="F2" i="10" a="1"/>
  <c r="F2" i="10" s="1"/>
  <c r="U26" i="10"/>
  <c r="U25" i="10"/>
  <c r="U24" i="10"/>
  <c r="U23" i="10"/>
  <c r="U22" i="10"/>
  <c r="Y5" i="10" l="1" a="1"/>
  <c r="Y5" i="10" s="1"/>
  <c r="AD5" i="10" s="1" a="1"/>
  <c r="AD5" i="10" s="1"/>
  <c r="U21" i="10"/>
  <c r="X5" i="10" l="1" a="1"/>
  <c r="X5" i="10" s="1"/>
  <c r="Z5" i="10" a="1"/>
  <c r="Z5" i="10" s="1"/>
  <c r="AB5" i="10" a="1"/>
  <c r="AB5" i="10" s="1"/>
  <c r="W5" i="10" a="1"/>
  <c r="W5" i="10" s="1"/>
  <c r="AM5" i="10" s="1" a="1"/>
  <c r="AM5" i="10" s="1"/>
  <c r="AC5" i="10" l="1" a="1"/>
  <c r="AC5" i="10" s="1"/>
  <c r="AA5" i="10" a="1"/>
  <c r="AA5" i="10" s="1"/>
  <c r="AG5" i="10" l="1" a="1"/>
  <c r="AG5" i="10" s="1"/>
  <c r="AH5" i="10" s="1" a="1"/>
  <c r="AH5" i="10" s="1"/>
  <c r="AE5" i="10" a="1"/>
  <c r="AE5" i="10" s="1"/>
  <c r="AD2" i="22" l="1" a="1"/>
  <c r="AD2" i="22" s="1"/>
  <c r="L2" i="22" l="1" a="1"/>
  <c r="L2" i="22" s="1"/>
  <c r="P2" i="22" s="1" a="1"/>
  <c r="P2" i="22" s="1"/>
  <c r="K2" i="22" a="1"/>
  <c r="K2" i="22" s="1"/>
  <c r="O2" i="22" s="1" a="1"/>
  <c r="O2" i="22" s="1"/>
  <c r="B14" i="19" s="1" a="1"/>
  <c r="B14" i="19" s="1"/>
  <c r="E2" i="10" l="1" a="1"/>
  <c r="E2" i="10" s="1"/>
  <c r="C2" i="10" a="1"/>
  <c r="C2" i="10" s="1"/>
  <c r="B15" i="4" l="1" a="1"/>
  <c r="B15" i="4" s="1"/>
  <c r="D9" i="1" l="1" a="1"/>
  <c r="D9" i="1" s="1"/>
  <c r="R14" i="10"/>
  <c r="S26" i="10" l="1"/>
  <c r="R10" i="10"/>
  <c r="R5" i="10" s="1"/>
  <c r="C6" i="9"/>
  <c r="C43" i="9" l="1" a="1"/>
  <c r="C43" i="9" s="1"/>
  <c r="C36" i="9" a="1"/>
  <c r="C36" i="9" s="1"/>
  <c r="C29" i="9" a="1"/>
  <c r="C29" i="9" s="1"/>
  <c r="M1" i="22" l="1"/>
  <c r="C9" i="19" l="1"/>
  <c r="C6" i="19" l="1"/>
  <c r="C8" i="19"/>
  <c r="C7" i="19"/>
  <c r="O4" i="10" l="1"/>
  <c r="O3" i="10" l="1"/>
  <c r="Q2" i="22" l="1" a="1"/>
  <c r="Q2" i="22" s="1"/>
  <c r="C30" i="9" l="1" a="1"/>
  <c r="C30" i="9" s="1"/>
  <c r="C37" i="9" a="1"/>
  <c r="C37" i="9" s="1"/>
  <c r="AJ5" i="10" a="1"/>
  <c r="AJ5" i="10" s="1"/>
  <c r="AZ5" i="10" s="1" a="1"/>
  <c r="AZ5" i="10" s="1"/>
  <c r="AF5" i="10" a="1"/>
  <c r="AF5" i="10" s="1"/>
  <c r="B14" i="18" a="1"/>
  <c r="B14" i="18" s="1"/>
  <c r="BF5" i="10" l="1" a="1"/>
  <c r="BF5" i="10" s="1"/>
  <c r="AV5" i="10" a="1"/>
  <c r="AV5" i="10" s="1"/>
  <c r="BC5" i="10" a="1"/>
  <c r="BC5" i="10" s="1"/>
  <c r="AU5" i="10" a="1"/>
  <c r="AU5" i="10" s="1"/>
  <c r="BE5" i="10" a="1"/>
  <c r="BE5" i="10" s="1"/>
  <c r="BB5" i="10" a="1"/>
  <c r="BB5" i="10" s="1"/>
  <c r="AT5" i="10" a="1"/>
  <c r="AT5" i="10" s="1"/>
  <c r="AS5" i="10" a="1"/>
  <c r="AS5" i="10" s="1"/>
  <c r="BD5" i="10" a="1"/>
  <c r="BD5" i="10" s="1"/>
  <c r="BA5" i="10" a="1"/>
  <c r="BA5" i="10" s="1"/>
  <c r="AW5" i="10" a="1"/>
  <c r="AW5" i="10" s="1"/>
  <c r="AX5" i="10" a="1"/>
  <c r="AX5" i="10" s="1"/>
  <c r="AY5" i="10" a="1"/>
  <c r="AY5" i="10" s="1"/>
  <c r="BH5" i="10" a="1"/>
  <c r="BH5" i="10" s="1"/>
  <c r="BG5" i="10" a="1"/>
  <c r="BG5" i="10" s="1"/>
  <c r="U2" i="22" a="1"/>
  <c r="U2" i="22" s="1"/>
  <c r="X2" i="22" l="1" a="1"/>
  <c r="X2" i="22" s="1"/>
  <c r="T2" i="22" a="1"/>
  <c r="T2" i="22" s="1"/>
  <c r="B17" i="19" s="1" a="1"/>
  <c r="B17" i="19" s="1"/>
  <c r="C31" i="9" l="1" a="1"/>
  <c r="C31" i="9" s="1"/>
  <c r="C38" i="9" a="1"/>
  <c r="C38" i="9" s="1"/>
  <c r="AI5" i="10" a="1"/>
  <c r="AI5" i="10" s="1"/>
  <c r="V2" i="22" a="1"/>
  <c r="V2" i="22" s="1"/>
  <c r="AQ5" i="10" l="1" a="1"/>
  <c r="AQ5" i="10" s="1"/>
  <c r="AP5" i="10" a="1"/>
  <c r="AP5" i="10" s="1"/>
  <c r="AO5" i="10" a="1"/>
  <c r="AO5" i="10" s="1"/>
  <c r="AN5" i="10" a="1"/>
  <c r="AN5" i="10" s="1"/>
  <c r="C44" i="9" a="1"/>
  <c r="C44" i="9" s="1"/>
  <c r="M44" i="9" s="1"/>
  <c r="M37" i="9"/>
  <c r="C39" i="9" a="1"/>
  <c r="C39" i="9" s="1"/>
  <c r="M30" i="9"/>
  <c r="C32" i="9" a="1"/>
  <c r="C32" i="9" s="1"/>
  <c r="M32" i="9" s="1"/>
  <c r="C33" i="9" a="1"/>
  <c r="C33" i="9" s="1"/>
  <c r="M33" i="9" s="1"/>
  <c r="N33" i="9" s="1"/>
  <c r="M31" i="9"/>
  <c r="N31" i="9" s="1"/>
  <c r="M38" i="9"/>
  <c r="N38" i="9" s="1"/>
  <c r="C40" i="9" a="1"/>
  <c r="C40" i="9" s="1"/>
  <c r="C45" i="9" a="1"/>
  <c r="C45" i="9" s="1"/>
  <c r="M45" i="9" s="1"/>
  <c r="N45" i="9" s="1"/>
  <c r="AR5" i="10" l="1"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 r="S2" i="22" l="1" a="1"/>
  <c r="S2" i="22" s="1"/>
  <c r="W2" i="22" s="1" a="1"/>
  <c r="W2" i="22" s="1"/>
  <c r="R2" i="22" a="1"/>
  <c r="R2" i="22" s="1"/>
  <c r="U13" i="6" l="1" a="1"/>
  <c r="U13" i="6" s="1"/>
  <c r="U14" i="6" a="1"/>
  <c r="U14" i="6" s="1"/>
  <c r="AI2" i="22" a="1"/>
  <c r="AI2" i="22" s="1"/>
  <c r="B19" i="52" s="1" a="1"/>
  <c r="B19" i="52" s="1"/>
  <c r="B19" i="49" l="1" a="1"/>
  <c r="B19" i="49" s="1"/>
  <c r="B17" i="52" a="1"/>
  <c r="B17" i="52" s="1"/>
  <c r="B21" i="9" a="1"/>
  <c r="B21" i="9" s="1"/>
  <c r="B15" i="19" a="1"/>
  <c r="B15" i="19" s="1"/>
  <c r="B17" i="49" a="1"/>
  <c r="B17" i="4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 id="2" xr16:uid="{756CE20D-8EE5-45B0-B4D7-C5D9A90BBE22}" keepAlive="1" name="Query - Table 0 (2)" description="Connection to the 'Table 0 (2)' query in the workbook." type="5" refreshedVersion="8" background="1" saveData="1">
    <dbPr connection="Provider=Microsoft.Mashup.OleDb.1;Data Source=$Workbook$;Location=&quot;Table 0 (2)&quot;;Extended Properties=&quot;&quot;" command="SELECT * FROM [Table 0 (2)]"/>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<sst xmlns="http://schemas.openxmlformats.org/spreadsheetml/2006/main" count="380" uniqueCount="316">
  <si>
    <t>Year</t>
  </si>
  <si>
    <t>Total</t>
  </si>
  <si>
    <t>Frequency</t>
  </si>
  <si>
    <t>Activity Number</t>
  </si>
  <si>
    <t>Activity Description</t>
  </si>
  <si>
    <t>Administrative/ Compliance</t>
  </si>
  <si>
    <t>Period</t>
  </si>
  <si>
    <t>Affected Group</t>
  </si>
  <si>
    <t>Percent Affected</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</si>
  <si>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</si>
  <si>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</si>
  <si>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</si>
  <si>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</si>
  <si>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</si>
  <si>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</si>
  <si>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</si>
  <si>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</si>
  <si>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</si>
  <si>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</si>
  <si>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</si>
  <si>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</si>
  <si>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</si>
  <si>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</si>
  <si>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</si>
  <si>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</si>
  <si>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</si>
  <si>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</si>
  <si>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</si>
  <si>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</si>
  <si>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</si>
  <si>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</si>
  <si>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</si>
  <si>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</si>
  <si>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</si>
  <si>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</si>
  <si>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</si>
  <si>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</si>
  <si>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</si>
  <si>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</si>
  <si>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</si>
  <si>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Assumptions/Notes</t>
  </si>
  <si>
    <t>Step 3: Activities</t>
  </si>
  <si>
    <t>Activity</t>
  </si>
  <si>
    <t>Administrative or Compliance</t>
  </si>
  <si>
    <t>Upfront or  Ongoing</t>
  </si>
  <si>
    <t>Start Year</t>
  </si>
  <si>
    <t>End Year</t>
  </si>
  <si>
    <t>Affected Stakeholder Group</t>
  </si>
  <si>
    <t>Affected Stakeholder Type</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</si>
  <si>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</si>
  <si>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</si>
  <si>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</si>
  <si>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</si>
  <si>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</si>
  <si>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</si>
  <si>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</si>
  <si>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</si>
  <si>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</si>
  <si>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Error Check</t>
  </si>
  <si>
    <t>Administrative</t>
  </si>
  <si>
    <t>Annual Stakeholder Count</t>
  </si>
  <si>
    <t>Group</t>
  </si>
  <si>
    <t>Type</t>
  </si>
  <si>
    <t xml:space="preserve">Version: </t>
  </si>
  <si>
    <t>Version date (yyyy-mm-dd):</t>
  </si>
  <si>
    <t>GCwiki link:</t>
  </si>
  <si>
    <t>https://wiki.gccollab.ca/File:RCCV4_Beta.xlsx</t>
  </si>
  <si>
    <t>Right-click and Refresh this box to check for a new version</t>
  </si>
  <si>
    <t>Objective:</t>
  </si>
  <si>
    <t>To quantify and monetize:</t>
  </si>
  <si>
    <t>(1) the direct administrative costs associated with INs and OUTs under the one-for-one rule, and</t>
  </si>
  <si>
    <t xml:space="preserve">(2) the direct compliance and administrative costs associated with the small business lens.   </t>
  </si>
  <si>
    <t>Methodology:</t>
  </si>
  <si>
    <t>Standard Cost Model</t>
  </si>
  <si>
    <t>Guidance:</t>
  </si>
  <si>
    <t>Policy on Limiting Regulatory Burden on Business</t>
  </si>
  <si>
    <t>Guide to Limiting Regulatory Burden on Business</t>
  </si>
  <si>
    <t>For support, contact:</t>
  </si>
  <si>
    <t xml:space="preserve">CORE-CCR@tbs-sct.gc.ca </t>
  </si>
  <si>
    <t>Sheet colour legend:</t>
  </si>
  <si>
    <t>: User input required (white cells only).</t>
  </si>
  <si>
    <t>: One-for-one rule and Small Business Lens output (required for RIAS).</t>
  </si>
  <si>
    <t>: Optional output tables (not necessarily required for RIAS).</t>
  </si>
  <si>
    <t>: Optional inputs (edits are not necessary).</t>
  </si>
  <si>
    <t>: RCC model internals (edits are not recommended).</t>
  </si>
  <si>
    <t>Instructions:</t>
  </si>
  <si>
    <t>Step 3: On the 'Activities' sheet, enter information about each regulatory requirement (e.g., start/end dates, capital/labour costs, frequency).</t>
  </si>
  <si>
    <t xml:space="preserve">Step 4: Add the results from the One-for-one and Small Business Lens sheets into the RIAS.   </t>
  </si>
  <si>
    <t xml:space="preserve">Step 5: Adjust the auto-generated One-for-one RIAS text, as appropriate. </t>
  </si>
  <si>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</si>
  <si>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</si>
  <si>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</si>
  <si>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</si>
  <si>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</si>
  <si>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</si>
  <si>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</si>
  <si>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</si>
  <si>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</si>
  <si>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</si>
  <si>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</si>
  <si>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</si>
  <si>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</si>
  <si>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One-for-one</t>
  </si>
  <si>
    <t>Business count, time period, units of measurement:</t>
  </si>
  <si>
    <t>Count of all businesses at the start of the analytical period:</t>
  </si>
  <si>
    <t>Price year:</t>
  </si>
  <si>
    <t>Discount rate:</t>
  </si>
  <si>
    <t>Results:</t>
  </si>
  <si>
    <t>Net Present Value Administrative Impact, All Businesses:</t>
  </si>
  <si>
    <t>Net Present Value Administrative Impact Per Business:</t>
  </si>
  <si>
    <t>Annualized Administrative Impact, All Businesses:</t>
  </si>
  <si>
    <t>Annualized Administrative Impact Per Business:</t>
  </si>
  <si>
    <t>Draft RIAS text (revise as needed)</t>
  </si>
  <si>
    <t>Annual breakdown:</t>
  </si>
  <si>
    <t>IN</t>
  </si>
  <si>
    <t>Annualized</t>
  </si>
  <si>
    <t>N/A</t>
  </si>
  <si>
    <t>OUT</t>
  </si>
  <si>
    <t>NET</t>
  </si>
  <si>
    <t>Small Business Lens</t>
  </si>
  <si>
    <t>Variable</t>
  </si>
  <si>
    <t>Value</t>
  </si>
  <si>
    <t>Instructions</t>
  </si>
  <si>
    <t>Count of small businesses at the start of the analytical period:</t>
  </si>
  <si>
    <t>Do not change</t>
  </si>
  <si>
    <t>Order of magnitude:</t>
  </si>
  <si>
    <t>Single</t>
  </si>
  <si>
    <t>Sort tables by:</t>
  </si>
  <si>
    <t>Default</t>
  </si>
  <si>
    <t>Input required</t>
  </si>
  <si>
    <t>Group tables by:</t>
  </si>
  <si>
    <t>Display years in:</t>
  </si>
  <si>
    <t>Note: negative net values represent net costs and positive net values represent net benefits.</t>
  </si>
  <si>
    <t xml:space="preserve"> </t>
  </si>
  <si>
    <t>Draft Cost-benefit Statement (revise as needed before adding to the RIAS)</t>
  </si>
  <si>
    <t>Other relevant year 1:</t>
  </si>
  <si>
    <t>Input optional</t>
  </si>
  <si>
    <t>Other relevant year 2:</t>
  </si>
  <si>
    <t>Other relevant year 3:</t>
  </si>
  <si>
    <t>Statistics Canada.Table  14-10-0340-01   Employee wages by occupation, annual, 1997 to 2022</t>
  </si>
  <si>
    <t>Number</t>
  </si>
  <si>
    <t>National Occupational Classification (NOC)</t>
  </si>
  <si>
    <t>Price year of data source</t>
  </si>
  <si>
    <t>Wage in price year of data source (without overhead)</t>
  </si>
  <si>
    <t>Wage in price year of analysis (without overhead)</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</si>
  <si>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</si>
  <si>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</si>
  <si>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</si>
  <si>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</si>
  <si>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</si>
  <si>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</si>
  <si>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</si>
  <si>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</si>
  <si>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</si>
  <si>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</si>
  <si>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</si>
  <si>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</si>
  <si>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</si>
  <si>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</si>
  <si>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</si>
  <si>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</si>
  <si>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</si>
  <si>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</si>
  <si>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</si>
  <si>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</si>
  <si>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</si>
  <si>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</si>
  <si>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</si>
  <si>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</si>
  <si>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</si>
  <si>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</si>
  <si>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</si>
  <si>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</si>
  <si>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</si>
  <si>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</si>
  <si>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</si>
  <si>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</si>
  <si>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</si>
  <si>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</si>
  <si>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</si>
  <si>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</si>
  <si>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</si>
  <si>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</si>
  <si>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</si>
  <si>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</si>
  <si>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</si>
  <si>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</si>
  <si>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</si>
  <si>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</si>
  <si>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</si>
  <si>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</si>
  <si>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</si>
  <si>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</si>
  <si>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</si>
  <si>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</si>
  <si>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</si>
  <si>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Statistics Canada. Table 18-10-0005-01  Consumer Price Index, annual average, not seasonally adjusted</t>
  </si>
  <si>
    <t>Index</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</si>
  <si>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</si>
  <si>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</si>
  <si>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</si>
  <si>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</si>
  <si>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</si>
  <si>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</si>
  <si>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</si>
  <si>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</si>
  <si>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Other relevant year(s) 1</t>
  </si>
  <si>
    <t>Other relevant year(s) 2</t>
  </si>
  <si>
    <t>Other relevant year(s) 3</t>
  </si>
  <si>
    <t>Name</t>
  </si>
  <si>
    <t>Explanation</t>
  </si>
  <si>
    <t>AF_7_10</t>
  </si>
  <si>
    <t>Annualization factor locked at the parameters needed for one-for-one section</t>
  </si>
  <si>
    <t>Individual Break Down</t>
  </si>
  <si>
    <t>AF</t>
  </si>
  <si>
    <t>Annualization factor that adjusts with discount rate and analytical period length</t>
  </si>
  <si>
    <t>Activity Name</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</si>
  <si>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</si>
  <si>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</si>
  <si>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</si>
  <si>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</si>
  <si>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</si>
  <si>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</si>
  <si>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</si>
  <si>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</si>
  <si>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</si>
  <si>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</si>
  <si>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</si>
  <si>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</si>
  <si>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</si>
  <si>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</si>
  <si>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</si>
  <si>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</si>
  <si>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</si>
  <si>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</si>
  <si>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</si>
  <si>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</si>
  <si>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</si>
  <si>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</si>
  <si>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</si>
  <si>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</si>
  <si>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</si>
  <si>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</si>
  <si>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</si>
  <si>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</si>
  <si>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</si>
  <si>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</si>
  <si>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</si>
  <si>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</si>
  <si>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</si>
  <si>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</si>
  <si>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</si>
  <si>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</si>
  <si>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</si>
  <si>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</si>
  <si>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</si>
  <si>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</si>
  <si>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</si>
  <si>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</si>
  <si>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</si>
  <si>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</si>
  <si>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</si>
  <si>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</si>
  <si>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</si>
  <si>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</si>
  <si>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</si>
  <si>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</si>
  <si>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</si>
  <si>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</si>
  <si>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</si>
  <si>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</si>
  <si>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</si>
  <si>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</si>
  <si>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</si>
  <si>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</si>
  <si>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</si>
  <si>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</si>
  <si>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</si>
  <si>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</si>
  <si>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</si>
  <si>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</si>
  <si>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</si>
  <si>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</si>
  <si>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</si>
  <si>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</si>
  <si>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(Click the cells above for more info)</t>
  </si>
  <si>
    <t>Custom Wage #1</t>
  </si>
  <si>
    <t>APPLYTOALL</t>
  </si>
  <si>
    <t>APPLYTOMANY</t>
  </si>
  <si>
    <t>Value / Formula</t>
  </si>
  <si>
    <t xml:space="preserve">Creates a copy-pasted matrix that applies the details of an already-filled-out activity to all other stakeholders from the Stakeholder Profile sheet. Enter this a few rows below the activities table, then copy paste the values into the table. </t>
  </si>
  <si>
    <t>Same as above but instead of applying the activity to all stakeholders, it applies it to however many you select. You can manually enter stakeholder names (separated by a comma), or click them one at a time on the Stakeholder Profile tab (hold control and click multiple).</t>
  </si>
  <si>
    <t>Total Impact (↑)</t>
  </si>
  <si>
    <t>Total Impact (↓)</t>
  </si>
  <si>
    <t>Stakeholder Group (↑az)</t>
  </si>
  <si>
    <t>Stakeholder Group (↓za)</t>
  </si>
  <si>
    <t>Activity (↑az)</t>
  </si>
  <si>
    <t>Activity (↓za)</t>
  </si>
  <si>
    <t>Dynamic drop-down for annual impact breakdown method</t>
  </si>
  <si>
    <t>Annual Impact</t>
  </si>
  <si>
    <t>Cost or Benefit</t>
  </si>
  <si>
    <t>Cost / Benefit</t>
  </si>
  <si>
    <t>Breakdown:</t>
  </si>
  <si>
    <t>Discounting</t>
  </si>
  <si>
    <t>Labour: Staff Level (Hourly Wage Without Overhead)</t>
  </si>
  <si>
    <t>Impact</t>
  </si>
  <si>
    <t>Undiscounted (2012 price year)</t>
  </si>
  <si>
    <t>Discounted (2012 price year, 7% discount rate, 2012 discount base year)</t>
  </si>
  <si>
    <t>Columns</t>
  </si>
  <si>
    <t>Simple</t>
  </si>
  <si>
    <t>Note: negative values represent net costs and positive values represent net benefits</t>
  </si>
  <si>
    <t>Cost/ Benefit</t>
  </si>
  <si>
    <t>Number of years:</t>
  </si>
  <si>
    <t>Present-value base year:</t>
  </si>
  <si>
    <t>Step 2: On the 'Stakeholders' sheet, enter stakeholder group names, counts, and growth rates at the start of the analytical period.</t>
  </si>
  <si>
    <t>Step 1: On the 'Initiative' sheet, enter information pertaining to the regulatory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</si>
</sst>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_-* #,##0_-;\-* #,##0_-;_-* &quot;-&quot;??_-;_-@_-"/>
    <numFmt numFmtId="172" formatCode="0.0%"/>
    <numFmt numFmtId="173" formatCode="#,##0_ ;\-#,##0\ "/>
  </numFmts>
  <fonts count="45" x14ac:knownFonts="1">
    <font>
      <sz val="11"/>
      <color theme="1"/>
      <name val="Calibri"/>
      <family val="2"/>
      <scheme val="minor"/>
    </font>
    <font>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sz val="11"/>
      <color theme="0"/>
      <name val="Calibri"/>
      <family val="2"/>
      <scheme val="minor"/>
    </font>
    <font>
      <i/>
      <sz val="10"/>
      <color theme="1"/>
      <name val="Arial"/>
      <family val="2"/>
    </font>
    <font>
      <sz val="9"/>
      <color theme="0" tint="-0.249977111117893"/>
      <name val="Arial"/>
      <family val="2"/>
    </font>
    <font>
      <b/>
      <sz val="11"/>
      <color theme="1"/>
      <name val="Calibri"/>
      <family val="2"/>
      <scheme val="minor"/>
    </font>
    <font>
      <sz val="11"/>
      <color rgb="FF000000"/>
      <name val="Calibri"/>
      <family val="2"/>
    </font>
    <font>
      <b/>
      <sz val="9"/>
      <name val="Arial"/>
      <family val="2"/>
    </font>
    <font>
      <u/>
      <sz val="9"/>
      <color theme="1"/>
      <name val="Arial"/>
      <family val="2"/>
    </font>
    <font>
      <sz val="10"/>
      <color rgb="FF000000"/>
      <name val="Arial"/>
      <family val="2"/>
    </font>
    <font>
      <sz val="10"/>
      <color rgb="FF0070C0"/>
      <name val="Arial"/>
      <family val="2"/>
    </font>
    <font>
      <sz val="10"/>
      <color rgb="FF4472C4"/>
      <name val="Arial"/>
      <family val="2"/>
    </font>
    <font>
      <b/>
      <sz val="10"/>
      <color rgb="FF000000"/>
      <name val="Arial"/>
      <family val="2"/>
    </font>
    <font>
      <sz val="10"/>
      <color theme="0"/>
      <name val="Arial"/>
      <family val="2"/>
    </font>
    <font>
      <sz val="10"/>
      <color theme="10"/>
      <name val="Arial"/>
      <family val="2"/>
    </font>
    <font>
      <u/>
      <sz val="10"/>
      <color theme="10"/>
      <name val="Arial"/>
      <family val="2"/>
    </font>
    <font>
      <u/>
      <sz val="10"/>
      <color rgb="FF0070C0"/>
      <name val="Arial"/>
      <family val="2"/>
    </font>
    <font>
      <sz val="10"/>
      <color theme="1"/>
      <name val="Calibri"/>
      <family val="2"/>
      <scheme val="minor"/>
    </font>
    <font>
      <i/>
      <sz val="11"/>
      <color theme="1"/>
      <name val="Calibri"/>
      <family val="2"/>
      <scheme val="minor"/>
    </font>
    <font>
      <b/>
      <sz val="9"/>
      <color rgb="FFC00000"/>
      <name val="Arial"/>
      <family val="2"/>
    </font>
    <font>
      <b/>
      <sz val="18"/>
      <color rgb="FFC00000"/>
      <name val="Arial"/>
      <family val="2"/>
    </font>
    <font>
      <b/>
      <u/>
      <sz val="12"/>
      <color theme="10"/>
      <name val="Arial"/>
      <family val="2"/>
    </font>
  </fonts>
  <fills count="17">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C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theme="0" tint="-0.14996795556505021"/>
      </left>
      <right style="thick">
        <color theme="0" tint="-0.34998626667073579"/>
      </right>
      <top style="thick">
        <color theme="0" tint="-0.14996795556505021"/>
      </top>
      <bottom style="thick">
        <color theme="0" tint="-0.34998626667073579"/>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3" fillId="0" borderId="0" applyFont="0" applyFill="0" applyBorder="0" applyAlignment="0" applyProtection="0"/>
    <xf numFmtId="0" fontId="3" fillId="0" borderId="0"/>
    <xf numFmtId="0" fontId="9" fillId="0" borderId="0" applyNumberFormat="0" applyFill="0" applyBorder="0" applyAlignment="0" applyProtection="0"/>
    <xf numFmtId="164" fontId="3" fillId="0" borderId="0" applyFont="0" applyFill="0" applyBorder="0" applyAlignment="0" applyProtection="0"/>
  </cellStyleXfs>
  <cellXfs count="296">
    <xf numFmtId="0" fontId="0" fillId="0" borderId="0" xfId="0"/>
    <xf numFmtId="0" fontId="0" fillId="0" borderId="1" xfId="0" applyBorder="1"/>
    <xf numFmtId="167" fontId="0" fillId="0" borderId="0" xfId="0" applyNumberFormat="1"/>
    <xf numFmtId="0" fontId="4" fillId="3" borderId="0" xfId="0" applyFont="1" applyFill="1" applyAlignment="1">
      <alignment vertical="center" wrapText="1"/>
    </xf>
    <xf numFmtId="0" fontId="8" fillId="3" borderId="0" xfId="0" applyFont="1" applyFill="1" applyAlignment="1">
      <alignment vertical="center" wrapText="1"/>
    </xf>
    <xf numFmtId="2" fontId="0" fillId="0" borderId="0" xfId="0" applyNumberFormat="1"/>
    <xf numFmtId="0" fontId="0" fillId="0" borderId="0" xfId="0" applyAlignment="1">
      <alignment wrapText="1"/>
    </xf>
    <xf numFmtId="166" fontId="11" fillId="0" borderId="1" xfId="0" applyNumberFormat="1" applyFont="1" applyBorder="1" applyAlignment="1">
      <alignment horizontal="right" vertical="center"/>
    </xf>
    <xf numFmtId="0" fontId="6" fillId="0" borderId="0" xfId="0" applyFont="1" applyAlignment="1">
      <alignment vertical="center"/>
    </xf>
    <xf numFmtId="0" fontId="0" fillId="6" borderId="0" xfId="0" applyFill="1"/>
    <xf numFmtId="0" fontId="7" fillId="0" borderId="1" xfId="0" applyFont="1" applyBorder="1" applyAlignment="1">
      <alignment horizontal="center" vertical="center" wrapText="1"/>
    </xf>
    <xf numFmtId="0" fontId="11"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0" fontId="11" fillId="0" borderId="0" xfId="0" applyFont="1" applyAlignment="1">
      <alignment vertical="top" wrapText="1"/>
    </xf>
    <xf numFmtId="0" fontId="16" fillId="0" borderId="1" xfId="4" applyFont="1" applyBorder="1" applyAlignment="1" applyProtection="1">
      <alignment horizontal="center" vertical="center" wrapText="1"/>
      <protection locked="0"/>
    </xf>
    <xf numFmtId="0" fontId="16" fillId="0" borderId="1" xfId="4" applyFont="1" applyBorder="1" applyAlignment="1" applyProtection="1">
      <alignment vertical="center" wrapText="1"/>
      <protection locked="0"/>
    </xf>
    <xf numFmtId="9" fontId="16" fillId="0" borderId="1" xfId="2" applyFont="1" applyBorder="1" applyAlignment="1" applyProtection="1">
      <alignment horizontal="center" vertical="center" wrapText="1"/>
      <protection locked="0"/>
    </xf>
    <xf numFmtId="0" fontId="5" fillId="2" borderId="12" xfId="4" applyFont="1" applyFill="1" applyBorder="1" applyAlignment="1" applyProtection="1">
      <alignment vertical="center"/>
      <protection hidden="1"/>
    </xf>
    <xf numFmtId="0" fontId="5" fillId="2" borderId="12" xfId="4" applyFont="1" applyFill="1" applyBorder="1" applyAlignment="1" applyProtection="1">
      <alignment horizontal="left" vertical="center" wrapText="1"/>
      <protection hidden="1"/>
    </xf>
    <xf numFmtId="0" fontId="0" fillId="0" borderId="0" xfId="0" applyAlignment="1">
      <alignment horizontal="center" vertical="center"/>
    </xf>
    <xf numFmtId="0" fontId="12" fillId="0" borderId="0" xfId="0" applyFont="1" applyAlignment="1">
      <alignment horizontal="left" vertical="center" wrapText="1"/>
    </xf>
    <xf numFmtId="0" fontId="17" fillId="0" borderId="0" xfId="0" applyFont="1" applyAlignment="1">
      <alignment horizontal="left" vertical="center" wrapText="1"/>
    </xf>
    <xf numFmtId="0" fontId="11" fillId="0" borderId="0" xfId="0" applyFont="1" applyAlignment="1">
      <alignment horizontal="left" vertical="center" wrapText="1"/>
    </xf>
    <xf numFmtId="0" fontId="18" fillId="0" borderId="0" xfId="0" applyFont="1" applyAlignment="1">
      <alignment vertical="center"/>
    </xf>
    <xf numFmtId="0" fontId="0" fillId="0" borderId="0" xfId="0" applyAlignment="1">
      <alignment vertical="top" wrapText="1"/>
    </xf>
    <xf numFmtId="0" fontId="19" fillId="0" borderId="0" xfId="0" applyFont="1" applyAlignment="1">
      <alignment vertical="top" wrapText="1"/>
    </xf>
    <xf numFmtId="0" fontId="20" fillId="0" borderId="0" xfId="0" applyFont="1"/>
    <xf numFmtId="0" fontId="15" fillId="0" borderId="0" xfId="0" applyFont="1"/>
    <xf numFmtId="1" fontId="16" fillId="8" borderId="1" xfId="2" applyNumberFormat="1" applyFont="1" applyFill="1" applyBorder="1" applyAlignment="1" applyProtection="1">
      <alignment horizontal="center" vertical="center" wrapText="1"/>
      <protection locked="0"/>
    </xf>
    <xf numFmtId="3" fontId="22" fillId="0" borderId="8" xfId="4" applyNumberFormat="1" applyFont="1" applyBorder="1" applyAlignment="1" applyProtection="1">
      <alignment horizontal="center" vertical="center" wrapText="1"/>
      <protection locked="0"/>
    </xf>
    <xf numFmtId="0" fontId="12" fillId="0" borderId="4" xfId="0" applyFont="1" applyBorder="1" applyAlignment="1">
      <alignment vertical="center"/>
    </xf>
    <xf numFmtId="0" fontId="12" fillId="0" borderId="4" xfId="0" applyFont="1" applyBorder="1" applyAlignment="1">
      <alignment horizontal="center" vertical="center" wrapText="1"/>
    </xf>
    <xf numFmtId="0" fontId="12" fillId="0" borderId="0" xfId="0" applyFont="1"/>
    <xf numFmtId="0" fontId="11" fillId="0" borderId="0" xfId="0" applyFont="1" applyAlignment="1">
      <alignment horizontal="right"/>
    </xf>
    <xf numFmtId="0" fontId="11" fillId="0" borderId="0" xfId="0" applyFont="1" applyAlignment="1">
      <alignment horizontal="left"/>
    </xf>
    <xf numFmtId="0" fontId="11" fillId="0" borderId="9" xfId="0" applyFont="1" applyBorder="1" applyAlignment="1">
      <alignment horizontal="right" vertical="center" wrapText="1"/>
    </xf>
    <xf numFmtId="0" fontId="11" fillId="0" borderId="10" xfId="0" applyFont="1" applyBorder="1" applyAlignment="1">
      <alignment horizontal="right" vertical="center" wrapText="1"/>
    </xf>
    <xf numFmtId="0" fontId="11" fillId="0" borderId="4" xfId="0" applyFont="1" applyBorder="1" applyAlignment="1">
      <alignment horizontal="right" vertical="center" wrapText="1"/>
    </xf>
    <xf numFmtId="167" fontId="11" fillId="0" borderId="7" xfId="0" applyNumberFormat="1" applyFont="1" applyBorder="1" applyAlignment="1">
      <alignment horizontal="right" vertical="center"/>
    </xf>
    <xf numFmtId="0" fontId="12" fillId="0" borderId="2" xfId="0" applyFont="1" applyBorder="1" applyAlignment="1">
      <alignment horizontal="right" vertical="center"/>
    </xf>
    <xf numFmtId="0" fontId="12" fillId="0" borderId="4" xfId="0" applyFont="1" applyBorder="1" applyAlignment="1">
      <alignment horizontal="right" vertical="center"/>
    </xf>
    <xf numFmtId="0" fontId="11" fillId="0" borderId="5" xfId="0" applyFont="1" applyBorder="1" applyAlignment="1">
      <alignment horizontal="right" vertical="center"/>
    </xf>
    <xf numFmtId="0" fontId="11" fillId="0" borderId="6" xfId="0" applyFont="1" applyBorder="1" applyAlignment="1">
      <alignment horizontal="right" vertical="center"/>
    </xf>
    <xf numFmtId="0" fontId="11" fillId="0" borderId="7" xfId="0" applyFont="1" applyBorder="1" applyAlignment="1">
      <alignment horizontal="right" vertical="center"/>
    </xf>
    <xf numFmtId="0" fontId="11" fillId="0" borderId="9" xfId="0" applyFont="1" applyBorder="1" applyAlignment="1">
      <alignment horizontal="right" vertical="center"/>
    </xf>
    <xf numFmtId="9" fontId="0" fillId="0" borderId="0" xfId="2" applyFont="1"/>
    <xf numFmtId="0" fontId="12" fillId="9" borderId="4" xfId="0" applyFont="1" applyFill="1" applyBorder="1" applyAlignment="1">
      <alignment horizontal="center" vertical="center" wrapText="1"/>
    </xf>
    <xf numFmtId="1" fontId="11" fillId="9" borderId="11" xfId="1" applyNumberFormat="1" applyFont="1" applyFill="1" applyBorder="1" applyAlignment="1">
      <alignment horizontal="right" vertical="center"/>
    </xf>
    <xf numFmtId="0" fontId="11" fillId="0" borderId="0" xfId="0" applyFont="1" applyAlignment="1">
      <alignment horizontal="center" vertical="center" wrapText="1"/>
    </xf>
    <xf numFmtId="0" fontId="11" fillId="0" borderId="0" xfId="0" applyFont="1" applyAlignment="1">
      <alignment horizontal="center"/>
    </xf>
    <xf numFmtId="0" fontId="19" fillId="0" borderId="0" xfId="0" applyFont="1" applyAlignment="1">
      <alignment vertical="center" wrapText="1"/>
    </xf>
    <xf numFmtId="166" fontId="0" fillId="0" borderId="0" xfId="0" applyNumberFormat="1"/>
    <xf numFmtId="169" fontId="0" fillId="0" borderId="0" xfId="0" applyNumberFormat="1"/>
    <xf numFmtId="0" fontId="10" fillId="0" borderId="1" xfId="0" applyFont="1" applyBorder="1" applyAlignment="1">
      <alignment horizontal="left" vertical="top" wrapText="1"/>
    </xf>
    <xf numFmtId="0" fontId="28" fillId="0" borderId="0" xfId="0" applyFont="1"/>
    <xf numFmtId="0" fontId="0" fillId="0" borderId="14" xfId="0" applyBorder="1" applyAlignment="1">
      <alignment wrapText="1"/>
    </xf>
    <xf numFmtId="0" fontId="0" fillId="0" borderId="15" xfId="0" applyBorder="1" applyAlignment="1">
      <alignment wrapText="1"/>
    </xf>
    <xf numFmtId="0" fontId="28" fillId="0" borderId="13" xfId="0" applyFont="1" applyBorder="1" applyAlignment="1">
      <alignment wrapText="1"/>
    </xf>
    <xf numFmtId="0" fontId="0" fillId="0" borderId="13" xfId="0" applyBorder="1"/>
    <xf numFmtId="0" fontId="0" fillId="0" borderId="14" xfId="0" applyBorder="1"/>
    <xf numFmtId="0" fontId="29" fillId="0" borderId="0" xfId="0" applyFont="1" applyAlignment="1">
      <alignment vertical="center"/>
    </xf>
    <xf numFmtId="0" fontId="29" fillId="0" borderId="0" xfId="0" applyFont="1" applyAlignment="1">
      <alignment vertical="center" wrapText="1"/>
    </xf>
    <xf numFmtId="2" fontId="0" fillId="0" borderId="0" xfId="0" applyNumberFormat="1" applyAlignment="1">
      <alignment wrapText="1"/>
    </xf>
    <xf numFmtId="0" fontId="28" fillId="0" borderId="0" xfId="0" applyFont="1" applyAlignment="1">
      <alignment vertical="center" wrapText="1"/>
    </xf>
    <xf numFmtId="0" fontId="28" fillId="0" borderId="0" xfId="0" applyFont="1" applyAlignment="1">
      <alignment vertical="center"/>
    </xf>
    <xf numFmtId="0" fontId="28" fillId="0" borderId="0" xfId="0" applyFont="1" applyAlignment="1">
      <alignment horizontal="right" vertical="center" wrapText="1"/>
    </xf>
    <xf numFmtId="0" fontId="23" fillId="0" borderId="0" xfId="0" applyFont="1" applyAlignment="1">
      <alignment horizontal="left" indent="1"/>
    </xf>
    <xf numFmtId="0" fontId="11" fillId="0" borderId="0" xfId="0" applyFont="1" applyAlignment="1">
      <alignment horizontal="left" indent="1"/>
    </xf>
    <xf numFmtId="0" fontId="0" fillId="0" borderId="0" xfId="0" applyAlignment="1">
      <alignment horizontal="right" vertical="center"/>
    </xf>
    <xf numFmtId="166" fontId="27" fillId="4" borderId="8" xfId="0" applyNumberFormat="1" applyFont="1" applyFill="1" applyBorder="1" applyAlignment="1" applyProtection="1">
      <alignment horizontal="center" vertical="center" wrapText="1"/>
      <protection locked="0"/>
    </xf>
    <xf numFmtId="3" fontId="30" fillId="12" borderId="7" xfId="4" applyNumberFormat="1" applyFont="1" applyFill="1" applyBorder="1" applyAlignment="1" applyProtection="1">
      <alignment horizontal="center" vertical="center" wrapText="1"/>
      <protection locked="0"/>
    </xf>
    <xf numFmtId="0" fontId="12" fillId="0" borderId="3" xfId="0" applyFont="1" applyBorder="1" applyAlignment="1">
      <alignment vertical="center"/>
    </xf>
    <xf numFmtId="0" fontId="22" fillId="9" borderId="5" xfId="4" applyFont="1" applyFill="1" applyBorder="1" applyAlignment="1">
      <alignment horizontal="left" vertical="center" wrapText="1"/>
    </xf>
    <xf numFmtId="0" fontId="22" fillId="9" borderId="7" xfId="4" applyFont="1" applyFill="1" applyBorder="1" applyAlignment="1">
      <alignment horizontal="left" vertical="center" wrapText="1"/>
    </xf>
    <xf numFmtId="0" fontId="22"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0" fontId="0" fillId="13" borderId="0" xfId="0" applyFill="1"/>
    <xf numFmtId="171" fontId="11" fillId="9" borderId="7" xfId="1" applyNumberFormat="1" applyFont="1" applyFill="1" applyBorder="1" applyAlignment="1">
      <alignment horizontal="right" vertical="center"/>
    </xf>
    <xf numFmtId="0" fontId="10" fillId="0" borderId="0" xfId="0" applyFont="1" applyAlignment="1">
      <alignment horizontal="right"/>
    </xf>
    <xf numFmtId="0" fontId="10" fillId="0" borderId="0" xfId="0" applyFont="1"/>
    <xf numFmtId="0" fontId="13" fillId="0" borderId="0" xfId="0" applyFont="1"/>
    <xf numFmtId="0" fontId="32" fillId="0" borderId="0" xfId="0" applyFont="1"/>
    <xf numFmtId="0" fontId="10" fillId="0" borderId="0" xfId="0" applyFont="1" applyAlignment="1">
      <alignment horizontal="left" vertical="center"/>
    </xf>
    <xf numFmtId="0" fontId="32" fillId="0" borderId="0" xfId="0" applyFont="1" applyAlignment="1">
      <alignment horizontal="left"/>
    </xf>
    <xf numFmtId="0" fontId="10" fillId="0" borderId="0" xfId="0" applyFont="1" applyAlignment="1">
      <alignment wrapText="1"/>
    </xf>
    <xf numFmtId="0" fontId="10" fillId="0" borderId="0" xfId="0" applyFont="1" applyAlignment="1">
      <alignment vertical="center"/>
    </xf>
    <xf numFmtId="0" fontId="33" fillId="0" borderId="0" xfId="0" applyFont="1" applyAlignment="1">
      <alignment vertical="center"/>
    </xf>
    <xf numFmtId="0" fontId="32" fillId="0" borderId="0" xfId="0" applyFont="1" applyAlignment="1">
      <alignment horizontal="left" vertical="center"/>
    </xf>
    <xf numFmtId="0" fontId="34" fillId="0" borderId="0" xfId="0" applyFont="1" applyAlignment="1">
      <alignment vertical="center"/>
    </xf>
    <xf numFmtId="0" fontId="37" fillId="0" borderId="0" xfId="5" applyFont="1" applyAlignment="1">
      <alignment vertical="center"/>
    </xf>
    <xf numFmtId="0" fontId="38" fillId="0" borderId="0" xfId="5" applyFont="1" applyAlignment="1">
      <alignment vertical="center"/>
    </xf>
    <xf numFmtId="0" fontId="10" fillId="10" borderId="1" xfId="0" applyFont="1" applyFill="1" applyBorder="1" applyAlignment="1">
      <alignment wrapText="1"/>
    </xf>
    <xf numFmtId="0" fontId="10" fillId="15" borderId="1" xfId="0" applyFont="1" applyFill="1" applyBorder="1" applyAlignment="1">
      <alignment wrapText="1"/>
    </xf>
    <xf numFmtId="0" fontId="10" fillId="13" borderId="1" xfId="0" applyFont="1" applyFill="1" applyBorder="1" applyAlignment="1">
      <alignment wrapText="1"/>
    </xf>
    <xf numFmtId="0" fontId="10" fillId="14" borderId="1" xfId="0" applyFont="1" applyFill="1" applyBorder="1" applyAlignment="1">
      <alignment wrapText="1"/>
    </xf>
    <xf numFmtId="0" fontId="10" fillId="16" borderId="1" xfId="0" applyFont="1" applyFill="1" applyBorder="1" applyAlignment="1">
      <alignment wrapText="1"/>
    </xf>
    <xf numFmtId="0" fontId="35" fillId="0" borderId="0" xfId="0" applyFont="1" applyAlignment="1">
      <alignment horizontal="right" wrapText="1"/>
    </xf>
    <xf numFmtId="0" fontId="13" fillId="0" borderId="0" xfId="0" applyFont="1" applyAlignment="1">
      <alignment horizontal="right" wrapText="1"/>
    </xf>
    <xf numFmtId="14" fontId="36" fillId="0" borderId="0" xfId="0" applyNumberFormat="1" applyFont="1" applyAlignment="1">
      <alignment horizontal="right" vertical="center" wrapText="1"/>
    </xf>
    <xf numFmtId="0" fontId="10" fillId="0" borderId="0" xfId="0" applyFont="1" applyAlignment="1">
      <alignment horizontal="right" wrapText="1"/>
    </xf>
    <xf numFmtId="14" fontId="10" fillId="0" borderId="0" xfId="0" applyNumberFormat="1" applyFont="1" applyAlignment="1">
      <alignment horizontal="left" vertical="center"/>
    </xf>
    <xf numFmtId="14" fontId="25" fillId="0" borderId="0" xfId="0" applyNumberFormat="1" applyFont="1"/>
    <xf numFmtId="0" fontId="39" fillId="0" borderId="0" xfId="0" applyFont="1" applyAlignment="1">
      <alignment horizontal="left" vertical="center"/>
    </xf>
    <xf numFmtId="0" fontId="13" fillId="4" borderId="16" xfId="0" applyFont="1" applyFill="1" applyBorder="1" applyAlignment="1">
      <alignment horizontal="center" wrapText="1"/>
    </xf>
    <xf numFmtId="0" fontId="11" fillId="0" borderId="2" xfId="0" applyFont="1" applyBorder="1" applyAlignment="1">
      <alignment horizontal="right" vertical="center"/>
    </xf>
    <xf numFmtId="0" fontId="11" fillId="0" borderId="4" xfId="0" applyFont="1" applyBorder="1" applyAlignment="1">
      <alignment horizontal="right" vertical="center"/>
    </xf>
    <xf numFmtId="0" fontId="11" fillId="0" borderId="0" xfId="0" applyFont="1" applyAlignment="1" applyProtection="1">
      <alignment horizontal="right" vertical="center"/>
      <protection locked="0"/>
    </xf>
    <xf numFmtId="0" fontId="6" fillId="0" borderId="0" xfId="0" applyFont="1" applyAlignment="1" applyProtection="1">
      <alignment wrapText="1"/>
      <protection locked="0"/>
    </xf>
    <xf numFmtId="0" fontId="11" fillId="0" borderId="0" xfId="0" applyFont="1" applyAlignment="1" applyProtection="1">
      <alignment wrapText="1"/>
      <protection locked="0"/>
    </xf>
    <xf numFmtId="0" fontId="23" fillId="0" borderId="0" xfId="0" applyFont="1" applyAlignment="1" applyProtection="1">
      <alignment wrapText="1"/>
      <protection locked="0"/>
    </xf>
    <xf numFmtId="0" fontId="14" fillId="0" borderId="0" xfId="0" applyFont="1" applyAlignment="1" applyProtection="1">
      <alignment wrapText="1"/>
      <protection locked="0"/>
    </xf>
    <xf numFmtId="0" fontId="11" fillId="0" borderId="0" xfId="0" applyFont="1" applyAlignment="1" applyProtection="1">
      <alignment horizontal="right" vertical="center" wrapText="1"/>
      <protection locked="0"/>
    </xf>
    <xf numFmtId="0" fontId="21" fillId="2" borderId="2" xfId="4" applyFont="1" applyFill="1" applyBorder="1" applyAlignment="1" applyProtection="1">
      <alignment horizontal="center" vertical="center" wrapText="1"/>
      <protection locked="0"/>
    </xf>
    <xf numFmtId="0" fontId="21" fillId="2" borderId="3" xfId="4" applyFont="1" applyFill="1" applyBorder="1" applyAlignment="1" applyProtection="1">
      <alignment horizontal="center" vertical="center" wrapText="1"/>
      <protection locked="0"/>
    </xf>
    <xf numFmtId="0" fontId="21" fillId="2" borderId="4" xfId="4" applyFont="1" applyFill="1" applyBorder="1" applyAlignment="1" applyProtection="1">
      <alignment horizontal="center" vertical="center" wrapText="1"/>
      <protection locked="0"/>
    </xf>
    <xf numFmtId="0" fontId="21" fillId="2" borderId="3" xfId="4" applyFont="1" applyFill="1" applyBorder="1" applyAlignment="1">
      <alignment horizontal="center" vertical="center" wrapText="1"/>
    </xf>
    <xf numFmtId="14" fontId="38" fillId="0" borderId="0" xfId="5" applyNumberFormat="1" applyFont="1" applyBorder="1" applyAlignment="1">
      <alignment horizontal="left" vertical="center"/>
    </xf>
    <xf numFmtId="0" fontId="22" fillId="0" borderId="8" xfId="4"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27" fillId="4" borderId="8" xfId="0" applyFont="1" applyFill="1" applyBorder="1" applyAlignment="1" applyProtection="1">
      <alignment horizontal="center" vertical="center" wrapText="1"/>
      <protection locked="0"/>
    </xf>
    <xf numFmtId="2" fontId="22" fillId="0" borderId="8" xfId="0" applyNumberFormat="1" applyFont="1" applyBorder="1" applyAlignment="1" applyProtection="1">
      <alignment horizontal="center" vertical="center" wrapText="1"/>
      <protection locked="0"/>
    </xf>
    <xf numFmtId="0" fontId="11" fillId="0" borderId="6" xfId="0" applyFont="1" applyBorder="1" applyAlignment="1">
      <alignment horizontal="left" vertical="center" wrapText="1"/>
    </xf>
    <xf numFmtId="172" fontId="22" fillId="0" borderId="8" xfId="0" applyNumberFormat="1" applyFont="1" applyBorder="1" applyAlignment="1" applyProtection="1">
      <alignment horizontal="center" vertical="center" wrapText="1"/>
      <protection locked="0"/>
    </xf>
    <xf numFmtId="0" fontId="11" fillId="0" borderId="0" xfId="0" applyFont="1" applyAlignment="1" applyProtection="1">
      <alignment vertical="center" wrapText="1"/>
      <protection locked="0"/>
    </xf>
    <xf numFmtId="0" fontId="8" fillId="11" borderId="0" xfId="0" applyFont="1" applyFill="1" applyAlignment="1">
      <alignment vertical="center" wrapText="1"/>
    </xf>
    <xf numFmtId="0" fontId="41" fillId="0" borderId="0" xfId="0" applyFont="1" applyAlignment="1">
      <alignment horizontal="center" vertical="center"/>
    </xf>
    <xf numFmtId="0" fontId="0" fillId="0" borderId="0" xfId="0" applyFill="1" applyAlignment="1">
      <alignment wrapText="1"/>
    </xf>
    <xf numFmtId="0" fontId="4" fillId="3" borderId="0" xfId="0" applyNumberFormat="1" applyFont="1" applyFill="1" applyAlignment="1">
      <alignment vertical="center" wrapText="1"/>
    </xf>
    <xf numFmtId="0" fontId="8" fillId="3" borderId="0" xfId="0" applyNumberFormat="1" applyFont="1" applyFill="1" applyAlignment="1">
      <alignment vertical="center" wrapText="1"/>
    </xf>
    <xf numFmtId="0" fontId="0" fillId="0" borderId="0" xfId="0" applyNumberFormat="1" applyAlignment="1">
      <alignment horizontal="center" vertical="center"/>
    </xf>
    <xf numFmtId="0" fontId="0" fillId="0" borderId="0" xfId="1" applyNumberFormat="1" applyFont="1" applyAlignment="1">
      <alignment horizontal="center" vertical="center"/>
    </xf>
    <xf numFmtId="0" fontId="0" fillId="0" borderId="0" xfId="0" applyNumberFormat="1" applyAlignment="1">
      <alignment horizontal="right" vertical="center"/>
    </xf>
    <xf numFmtId="0" fontId="4" fillId="3" borderId="0" xfId="0" applyNumberFormat="1" applyFont="1" applyFill="1" applyAlignment="1">
      <alignment horizontal="center" vertical="center" wrapText="1"/>
    </xf>
    <xf numFmtId="0" fontId="8" fillId="3" borderId="0" xfId="0" applyNumberFormat="1" applyFont="1" applyFill="1" applyAlignment="1">
      <alignment horizontal="center" vertical="center" wrapText="1"/>
    </xf>
    <xf numFmtId="0" fontId="0" fillId="0" borderId="0" xfId="2" applyNumberFormat="1" applyFont="1" applyAlignment="1">
      <alignment horizontal="center" vertical="center"/>
    </xf>
    <xf numFmtId="0" fontId="0" fillId="0" borderId="0" xfId="1" applyNumberFormat="1" applyFont="1" applyAlignment="1">
      <alignment horizontal="right" vertical="center"/>
    </xf>
    <xf numFmtId="0" fontId="0" fillId="0" borderId="0" xfId="0" applyAlignment="1">
      <alignment horizontal="left" vertical="center"/>
    </xf>
    <xf numFmtId="0" fontId="42" fillId="0" borderId="0" xfId="0" applyFont="1" applyAlignment="1" applyProtection="1">
      <alignment vertical="center"/>
      <protection locked="0"/>
    </xf>
    <xf numFmtId="0" fontId="43" fillId="0" borderId="0" xfId="0" applyFont="1" applyAlignment="1">
      <alignment wrapText="1"/>
    </xf>
    <xf numFmtId="3" fontId="22" fillId="0" borderId="8" xfId="4" applyNumberFormat="1" applyFont="1" applyFill="1" applyBorder="1" applyAlignment="1" applyProtection="1">
      <alignment horizontal="center" vertical="center" wrapText="1"/>
      <protection locked="0"/>
    </xf>
    <xf numFmtId="0" fontId="22" fillId="0" borderId="8" xfId="4" applyNumberFormat="1" applyFont="1" applyFill="1" applyBorder="1" applyAlignment="1" applyProtection="1">
      <alignment horizontal="center" vertical="center" wrapText="1"/>
      <protection locked="0"/>
    </xf>
    <xf numFmtId="172" fontId="22" fillId="0" borderId="8" xfId="0" applyNumberFormat="1" applyFont="1" applyFill="1" applyBorder="1" applyAlignment="1" applyProtection="1">
      <alignment horizontal="center" vertical="center" wrapText="1"/>
      <protection locked="0"/>
    </xf>
    <xf numFmtId="0" fontId="11" fillId="0" borderId="8" xfId="0" applyNumberFormat="1" applyFont="1" applyBorder="1" applyAlignment="1" applyProtection="1">
      <alignment horizontal="center" vertical="center" wrapText="1"/>
      <protection locked="0"/>
    </xf>
    <xf numFmtId="0" fontId="27" fillId="4" borderId="8" xfId="0" applyNumberFormat="1" applyFont="1" applyFill="1" applyBorder="1" applyAlignment="1" applyProtection="1">
      <alignment horizontal="center" vertical="center" wrapText="1"/>
      <protection locked="0"/>
    </xf>
    <xf numFmtId="2" fontId="22" fillId="0" borderId="8" xfId="0" applyNumberFormat="1" applyFont="1" applyFill="1" applyBorder="1" applyAlignment="1" applyProtection="1">
      <alignment horizontal="center" vertical="center" wrapText="1"/>
      <protection locked="0"/>
    </xf>
    <xf numFmtId="0" fontId="11" fillId="0" borderId="9" xfId="0" applyFont="1" applyBorder="1" applyAlignment="1" applyProtection="1">
      <alignment horizontal="left" vertical="center" wrapText="1"/>
      <protection locked="0"/>
    </xf>
    <xf numFmtId="0" fontId="11" fillId="0" borderId="8" xfId="0" applyNumberFormat="1" applyFont="1" applyBorder="1" applyAlignment="1" applyProtection="1">
      <alignment horizontal="left" vertical="center" wrapText="1"/>
    </xf>
    <xf numFmtId="166" fontId="11" fillId="0" borderId="0" xfId="0" applyNumberFormat="1" applyFont="1" applyAlignment="1">
      <alignment horizontal="right" vertical="center"/>
    </xf>
    <xf numFmtId="0" fontId="11" fillId="0" borderId="0" xfId="0" applyNumberFormat="1" applyFont="1" applyAlignment="1">
      <alignment horizontal="left" vertical="center"/>
    </xf>
    <xf numFmtId="0" fontId="6" fillId="0" borderId="0" xfId="0" applyNumberFormat="1" applyFont="1" applyAlignment="1">
      <alignment horizontal="left" vertical="center"/>
    </xf>
    <xf numFmtId="0" fontId="24" fillId="0" borderId="0" xfId="0" applyNumberFormat="1" applyFont="1" applyAlignment="1">
      <alignment horizontal="left" vertical="center"/>
    </xf>
    <xf numFmtId="0" fontId="10" fillId="0" borderId="0" xfId="0" applyNumberFormat="1" applyFont="1" applyAlignment="1">
      <alignment horizontal="left" vertical="center"/>
    </xf>
    <xf numFmtId="0" fontId="26" fillId="0" borderId="0" xfId="0" applyNumberFormat="1" applyFont="1" applyAlignment="1">
      <alignment horizontal="left" vertical="center"/>
    </xf>
    <xf numFmtId="166" fontId="11" fillId="0" borderId="0" xfId="0" applyNumberFormat="1" applyFont="1" applyAlignment="1">
      <alignment horizontal="left" vertical="center" wrapText="1"/>
    </xf>
    <xf numFmtId="166" fontId="11" fillId="0" borderId="0" xfId="0" applyNumberFormat="1" applyFont="1" applyAlignment="1">
      <alignment horizontal="right" vertical="center" wrapText="1"/>
    </xf>
    <xf numFmtId="166" fontId="6" fillId="0" borderId="0" xfId="0" applyNumberFormat="1" applyFont="1" applyAlignment="1">
      <alignment horizontal="left" vertical="center"/>
    </xf>
    <xf numFmtId="166" fontId="10" fillId="0" borderId="0" xfId="0" applyNumberFormat="1" applyFont="1" applyAlignment="1">
      <alignment horizontal="right" vertical="center" wrapText="1"/>
    </xf>
    <xf numFmtId="166" fontId="24" fillId="0" borderId="0" xfId="0" applyNumberFormat="1" applyFont="1" applyAlignment="1">
      <alignment horizontal="left" vertical="center" wrapText="1"/>
    </xf>
    <xf numFmtId="166" fontId="13" fillId="0" borderId="9" xfId="0" applyNumberFormat="1" applyFont="1" applyBorder="1" applyAlignment="1">
      <alignment horizontal="right" vertical="center" wrapText="1"/>
    </xf>
    <xf numFmtId="166" fontId="13" fillId="0" borderId="8" xfId="0" applyNumberFormat="1" applyFont="1" applyBorder="1" applyAlignment="1">
      <alignment horizontal="right" vertical="center" wrapText="1"/>
    </xf>
    <xf numFmtId="166" fontId="13" fillId="0" borderId="5" xfId="0" applyNumberFormat="1" applyFont="1" applyBorder="1" applyAlignment="1">
      <alignment horizontal="center" vertical="center" wrapText="1"/>
    </xf>
    <xf numFmtId="166" fontId="10" fillId="9" borderId="9" xfId="0" applyNumberFormat="1" applyFont="1" applyFill="1" applyBorder="1" applyAlignment="1">
      <alignment horizontal="right" vertical="center" wrapText="1"/>
    </xf>
    <xf numFmtId="166" fontId="10" fillId="9" borderId="8" xfId="0" applyNumberFormat="1" applyFont="1" applyFill="1" applyBorder="1" applyAlignment="1">
      <alignment horizontal="right" vertical="center" wrapText="1"/>
    </xf>
    <xf numFmtId="166" fontId="10" fillId="9" borderId="10" xfId="0" applyNumberFormat="1" applyFont="1" applyFill="1" applyBorder="1" applyAlignment="1">
      <alignment horizontal="right" vertical="center" wrapText="1"/>
    </xf>
    <xf numFmtId="166" fontId="10" fillId="9" borderId="4" xfId="0" applyNumberFormat="1" applyFont="1" applyFill="1" applyBorder="1" applyAlignment="1">
      <alignment horizontal="right" vertical="center" wrapText="1"/>
    </xf>
    <xf numFmtId="166" fontId="10" fillId="10" borderId="10" xfId="0" applyNumberFormat="1" applyFont="1" applyFill="1" applyBorder="1" applyAlignment="1">
      <alignment horizontal="right" vertical="center" wrapText="1"/>
    </xf>
    <xf numFmtId="166" fontId="10" fillId="10" borderId="12" xfId="0" applyNumberFormat="1" applyFont="1" applyFill="1" applyBorder="1" applyAlignment="1">
      <alignment horizontal="right" vertical="center" wrapText="1"/>
    </xf>
    <xf numFmtId="166" fontId="11" fillId="0" borderId="0" xfId="1" applyNumberFormat="1" applyFont="1" applyAlignment="1">
      <alignment horizontal="right" vertical="center" wrapText="1"/>
    </xf>
    <xf numFmtId="166" fontId="10" fillId="14" borderId="9" xfId="0" applyNumberFormat="1" applyFont="1" applyFill="1" applyBorder="1" applyAlignment="1">
      <alignment horizontal="right" vertical="center" wrapText="1"/>
    </xf>
    <xf numFmtId="166" fontId="10" fillId="14" borderId="10" xfId="0" applyNumberFormat="1" applyFont="1" applyFill="1" applyBorder="1" applyAlignment="1">
      <alignment horizontal="right" vertical="center" wrapText="1"/>
    </xf>
    <xf numFmtId="166" fontId="10" fillId="14" borderId="4" xfId="0" applyNumberFormat="1" applyFont="1" applyFill="1" applyBorder="1" applyAlignment="1">
      <alignment horizontal="right" vertical="center" wrapText="1"/>
    </xf>
    <xf numFmtId="166" fontId="10" fillId="0" borderId="0" xfId="0" applyNumberFormat="1" applyFont="1" applyAlignment="1">
      <alignment horizontal="left" vertical="center" wrapText="1"/>
    </xf>
    <xf numFmtId="166" fontId="26" fillId="0" borderId="0" xfId="0" applyNumberFormat="1" applyFont="1" applyAlignment="1">
      <alignment horizontal="left" vertical="center"/>
    </xf>
    <xf numFmtId="166" fontId="10" fillId="0" borderId="0" xfId="0" applyNumberFormat="1" applyFont="1" applyAlignment="1">
      <alignment horizontal="left" vertical="center"/>
    </xf>
    <xf numFmtId="0" fontId="10" fillId="9" borderId="12" xfId="0" applyNumberFormat="1" applyFont="1" applyFill="1" applyBorder="1" applyAlignment="1">
      <alignment horizontal="right" vertical="center" wrapText="1"/>
    </xf>
    <xf numFmtId="9" fontId="10" fillId="9" borderId="3" xfId="2" applyNumberFormat="1" applyFont="1" applyFill="1" applyBorder="1" applyAlignment="1">
      <alignment horizontal="right" vertical="center" wrapText="1"/>
    </xf>
    <xf numFmtId="166" fontId="10" fillId="0" borderId="0" xfId="0" applyNumberFormat="1" applyFont="1" applyAlignment="1">
      <alignment horizontal="right" vertical="center"/>
    </xf>
    <xf numFmtId="166" fontId="13" fillId="0" borderId="1" xfId="0" applyNumberFormat="1" applyFont="1" applyBorder="1" applyAlignment="1">
      <alignment horizontal="right" vertical="center"/>
    </xf>
    <xf numFmtId="166" fontId="13" fillId="0" borderId="1" xfId="0" applyNumberFormat="1" applyFont="1" applyBorder="1" applyAlignment="1">
      <alignment horizontal="center" vertical="center"/>
    </xf>
    <xf numFmtId="166" fontId="10" fillId="10" borderId="3" xfId="0" applyNumberFormat="1" applyFont="1" applyFill="1" applyBorder="1" applyAlignment="1">
      <alignment horizontal="right" vertical="center"/>
    </xf>
    <xf numFmtId="0" fontId="10" fillId="9" borderId="8" xfId="0" applyNumberFormat="1" applyFont="1" applyFill="1" applyBorder="1" applyAlignment="1">
      <alignment horizontal="right" vertical="center"/>
    </xf>
    <xf numFmtId="0" fontId="10" fillId="9" borderId="3" xfId="0" applyNumberFormat="1" applyFont="1" applyFill="1" applyBorder="1" applyAlignment="1">
      <alignment horizontal="right" vertical="center"/>
    </xf>
    <xf numFmtId="166" fontId="10" fillId="9" borderId="12" xfId="0" applyNumberFormat="1" applyFont="1" applyFill="1" applyBorder="1" applyAlignment="1">
      <alignment horizontal="right" vertical="center"/>
    </xf>
    <xf numFmtId="166" fontId="10" fillId="10" borderId="8" xfId="0" applyNumberFormat="1" applyFont="1" applyFill="1" applyBorder="1" applyAlignment="1">
      <alignment horizontal="right" vertical="center"/>
    </xf>
    <xf numFmtId="0" fontId="10" fillId="9" borderId="12" xfId="0" applyNumberFormat="1" applyFont="1" applyFill="1" applyBorder="1" applyAlignment="1">
      <alignment horizontal="right" vertical="center"/>
    </xf>
    <xf numFmtId="166" fontId="6" fillId="0" borderId="0" xfId="0" applyNumberFormat="1" applyFont="1" applyAlignment="1">
      <alignment horizontal="left" vertical="center" wrapText="1"/>
    </xf>
    <xf numFmtId="166" fontId="13" fillId="0" borderId="1" xfId="0" applyNumberFormat="1" applyFont="1" applyBorder="1" applyAlignment="1">
      <alignment horizontal="right" vertical="center" wrapText="1"/>
    </xf>
    <xf numFmtId="166" fontId="10" fillId="10" borderId="4" xfId="0" applyNumberFormat="1" applyFont="1" applyFill="1" applyBorder="1" applyAlignment="1">
      <alignment horizontal="right" vertical="center" wrapText="1"/>
    </xf>
    <xf numFmtId="166" fontId="26" fillId="0" borderId="0" xfId="0" applyNumberFormat="1" applyFont="1" applyFill="1" applyAlignment="1">
      <alignment horizontal="left" vertical="center"/>
    </xf>
    <xf numFmtId="166" fontId="40" fillId="0" borderId="0" xfId="0" applyNumberFormat="1" applyFont="1"/>
    <xf numFmtId="0" fontId="10" fillId="9" borderId="12" xfId="1" applyNumberFormat="1" applyFont="1" applyFill="1" applyBorder="1" applyAlignment="1">
      <alignment horizontal="right" vertical="center"/>
    </xf>
    <xf numFmtId="166" fontId="10" fillId="10" borderId="9" xfId="0" applyNumberFormat="1" applyFont="1" applyFill="1" applyBorder="1" applyAlignment="1">
      <alignment horizontal="right" vertical="center" wrapText="1"/>
    </xf>
    <xf numFmtId="0" fontId="10" fillId="14" borderId="8" xfId="0" applyNumberFormat="1" applyFont="1" applyFill="1" applyBorder="1" applyAlignment="1">
      <alignment horizontal="right" vertical="center" wrapText="1"/>
    </xf>
    <xf numFmtId="0" fontId="10" fillId="14" borderId="12" xfId="0" applyNumberFormat="1" applyFont="1" applyFill="1" applyBorder="1" applyAlignment="1">
      <alignment horizontal="right" vertical="center" wrapText="1"/>
    </xf>
    <xf numFmtId="0" fontId="10" fillId="14" borderId="3" xfId="0" applyNumberFormat="1" applyFont="1" applyFill="1" applyBorder="1" applyAlignment="1">
      <alignment horizontal="right" vertical="center" wrapText="1"/>
    </xf>
    <xf numFmtId="167" fontId="28" fillId="0" borderId="1" xfId="0" applyNumberFormat="1" applyFont="1" applyBorder="1" applyAlignment="1">
      <alignment vertical="center"/>
    </xf>
    <xf numFmtId="0" fontId="0" fillId="0" borderId="1" xfId="0" applyBorder="1" applyAlignment="1">
      <alignment vertical="center"/>
    </xf>
    <xf numFmtId="0" fontId="0" fillId="0" borderId="1" xfId="0" applyBorder="1" applyAlignment="1">
      <alignment vertical="center" wrapText="1"/>
    </xf>
    <xf numFmtId="0" fontId="28" fillId="0" borderId="1" xfId="0" applyFont="1" applyBorder="1"/>
    <xf numFmtId="166" fontId="10" fillId="10" borderId="11" xfId="0" applyNumberFormat="1" applyFont="1" applyFill="1" applyBorder="1" applyAlignment="1">
      <alignment horizontal="right" vertical="center"/>
    </xf>
    <xf numFmtId="166" fontId="10" fillId="10" borderId="2" xfId="0" applyNumberFormat="1" applyFont="1" applyFill="1" applyBorder="1" applyAlignment="1">
      <alignment horizontal="right" vertical="center"/>
    </xf>
    <xf numFmtId="0" fontId="10" fillId="10" borderId="12" xfId="0" applyNumberFormat="1" applyFont="1" applyFill="1" applyBorder="1" applyAlignment="1">
      <alignment horizontal="right" vertical="center"/>
    </xf>
    <xf numFmtId="0" fontId="10" fillId="10" borderId="3" xfId="0" applyNumberFormat="1" applyFont="1" applyFill="1" applyBorder="1" applyAlignment="1">
      <alignment horizontal="right" vertical="center"/>
    </xf>
    <xf numFmtId="166" fontId="10" fillId="10" borderId="0" xfId="0" applyNumberFormat="1" applyFont="1" applyFill="1" applyAlignment="1">
      <alignment horizontal="right" vertical="center"/>
    </xf>
    <xf numFmtId="0" fontId="0" fillId="0" borderId="0" xfId="0" applyNumberFormat="1" applyFill="1" applyAlignment="1">
      <alignment horizontal="right" vertical="center"/>
    </xf>
    <xf numFmtId="166" fontId="11" fillId="0" borderId="0" xfId="0" applyNumberFormat="1" applyFont="1" applyFill="1" applyAlignment="1">
      <alignment horizontal="right" vertical="center"/>
    </xf>
    <xf numFmtId="0" fontId="11" fillId="0" borderId="0" xfId="0" applyFont="1" applyAlignment="1">
      <alignment horizontal="center" vertical="center"/>
    </xf>
    <xf numFmtId="173" fontId="22" fillId="0" borderId="12" xfId="1" applyNumberFormat="1" applyFont="1" applyBorder="1" applyAlignment="1" applyProtection="1">
      <alignment horizontal="center" vertical="center" wrapText="1"/>
      <protection locked="0"/>
    </xf>
    <xf numFmtId="0" fontId="11" fillId="0" borderId="0" xfId="0" applyFont="1" applyAlignment="1">
      <alignment horizontal="left" vertical="center"/>
    </xf>
    <xf numFmtId="0" fontId="11" fillId="0" borderId="0" xfId="0" applyFont="1" applyAlignment="1">
      <alignment vertical="center"/>
    </xf>
    <xf numFmtId="0" fontId="22" fillId="9" borderId="3" xfId="4" applyFont="1" applyFill="1" applyBorder="1" applyAlignment="1">
      <alignment horizontal="center" vertical="center" wrapText="1"/>
    </xf>
    <xf numFmtId="0" fontId="22" fillId="9" borderId="1" xfId="4" applyFont="1" applyFill="1" applyBorder="1" applyAlignment="1">
      <alignment horizontal="center" vertical="center"/>
    </xf>
    <xf numFmtId="167" fontId="11" fillId="9" borderId="6" xfId="0" applyNumberFormat="1" applyFont="1" applyFill="1" applyBorder="1" applyAlignment="1">
      <alignment horizontal="center" vertical="center"/>
    </xf>
    <xf numFmtId="167" fontId="11" fillId="0" borderId="0" xfId="0" applyNumberFormat="1" applyFont="1" applyAlignment="1">
      <alignment vertical="center"/>
    </xf>
    <xf numFmtId="167" fontId="11" fillId="9" borderId="9" xfId="0" applyNumberFormat="1" applyFont="1" applyFill="1" applyBorder="1" applyAlignment="1">
      <alignment horizontal="center" vertical="center"/>
    </xf>
    <xf numFmtId="0" fontId="31" fillId="0" borderId="0" xfId="0" applyFont="1" applyAlignment="1">
      <alignment vertical="center"/>
    </xf>
    <xf numFmtId="0" fontId="22" fillId="0" borderId="1" xfId="4" applyFont="1" applyBorder="1" applyAlignment="1">
      <alignment horizontal="center" vertical="center"/>
    </xf>
    <xf numFmtId="167" fontId="22" fillId="0" borderId="6" xfId="4" applyNumberFormat="1" applyFont="1" applyBorder="1" applyAlignment="1">
      <alignment horizontal="center" vertical="center"/>
    </xf>
    <xf numFmtId="0" fontId="11" fillId="0" borderId="0" xfId="0" applyFont="1" applyAlignment="1">
      <alignment vertical="center" wrapText="1"/>
    </xf>
    <xf numFmtId="0" fontId="6" fillId="0" borderId="0" xfId="0" applyFont="1" applyAlignment="1">
      <alignment vertical="center" wrapText="1"/>
    </xf>
    <xf numFmtId="0" fontId="14" fillId="0" borderId="0" xfId="0" applyFont="1" applyAlignment="1">
      <alignment vertical="center" wrapText="1"/>
    </xf>
    <xf numFmtId="0" fontId="11" fillId="9" borderId="9" xfId="0" applyFont="1" applyFill="1" applyBorder="1" applyAlignment="1">
      <alignment horizontal="right" vertical="center" wrapText="1"/>
    </xf>
    <xf numFmtId="0" fontId="11" fillId="9" borderId="10" xfId="0" applyFont="1" applyFill="1" applyBorder="1" applyAlignment="1">
      <alignment horizontal="right" vertical="center" wrapText="1"/>
    </xf>
    <xf numFmtId="0" fontId="11" fillId="9" borderId="4" xfId="0" applyFont="1" applyFill="1" applyBorder="1" applyAlignment="1">
      <alignment horizontal="right" vertical="center" wrapText="1"/>
    </xf>
    <xf numFmtId="0" fontId="12" fillId="0" borderId="0" xfId="0" applyFont="1" applyAlignment="1">
      <alignment horizontal="right" vertical="center" wrapText="1"/>
    </xf>
    <xf numFmtId="0" fontId="11" fillId="0" borderId="0" xfId="1" applyNumberFormat="1" applyFont="1" applyBorder="1" applyAlignment="1">
      <alignment vertical="center"/>
    </xf>
    <xf numFmtId="167" fontId="11" fillId="0" borderId="11" xfId="0" applyNumberFormat="1" applyFont="1" applyBorder="1" applyAlignment="1">
      <alignment horizontal="right" vertical="center"/>
    </xf>
    <xf numFmtId="167" fontId="12" fillId="0" borderId="11" xfId="0" applyNumberFormat="1" applyFont="1" applyBorder="1" applyAlignment="1">
      <alignment horizontal="right" vertical="center"/>
    </xf>
    <xf numFmtId="167" fontId="11" fillId="0" borderId="2" xfId="0" applyNumberFormat="1" applyFont="1" applyBorder="1" applyAlignment="1">
      <alignment horizontal="right" vertical="center"/>
    </xf>
    <xf numFmtId="0" fontId="12" fillId="0" borderId="0" xfId="0" applyFont="1" applyAlignment="1">
      <alignment vertical="center" wrapText="1"/>
    </xf>
    <xf numFmtId="0" fontId="12" fillId="0" borderId="1" xfId="0" applyFont="1" applyBorder="1" applyAlignment="1">
      <alignment vertical="center" wrapText="1"/>
    </xf>
    <xf numFmtId="0" fontId="12" fillId="0" borderId="1" xfId="0" applyFont="1" applyBorder="1" applyAlignment="1">
      <alignment vertical="center"/>
    </xf>
    <xf numFmtId="0" fontId="12" fillId="0" borderId="1" xfId="0" applyFont="1" applyBorder="1" applyAlignment="1">
      <alignment horizontal="right" vertical="center"/>
    </xf>
    <xf numFmtId="0" fontId="11" fillId="0" borderId="1" xfId="0" applyFont="1" applyBorder="1" applyAlignment="1">
      <alignment vertical="center" wrapText="1"/>
    </xf>
    <xf numFmtId="167" fontId="11" fillId="0" borderId="0" xfId="0" applyNumberFormat="1" applyFont="1" applyAlignment="1" applyProtection="1">
      <alignment wrapText="1"/>
      <protection locked="0"/>
    </xf>
    <xf numFmtId="167" fontId="11" fillId="0" borderId="0" xfId="0" applyNumberFormat="1" applyFont="1" applyAlignment="1" applyProtection="1">
      <alignment vertical="center" wrapText="1"/>
      <protection locked="0"/>
    </xf>
    <xf numFmtId="167" fontId="21" fillId="0" borderId="0" xfId="5" applyNumberFormat="1" applyFont="1" applyFill="1" applyBorder="1" applyAlignment="1" applyProtection="1">
      <alignment horizontal="center" vertical="center" wrapText="1"/>
      <protection locked="0"/>
    </xf>
    <xf numFmtId="167" fontId="21" fillId="2" borderId="3" xfId="4" applyNumberFormat="1" applyFont="1" applyFill="1" applyBorder="1" applyAlignment="1" applyProtection="1">
      <alignment horizontal="center" vertical="center" wrapText="1"/>
      <protection locked="0"/>
    </xf>
    <xf numFmtId="167" fontId="11" fillId="0" borderId="8" xfId="0" applyNumberFormat="1" applyFont="1" applyFill="1" applyBorder="1" applyAlignment="1" applyProtection="1">
      <alignment horizontal="center" vertical="center" wrapText="1"/>
      <protection locked="0"/>
    </xf>
    <xf numFmtId="173" fontId="22" fillId="0" borderId="8" xfId="1" applyNumberFormat="1" applyFont="1" applyFill="1" applyBorder="1" applyAlignment="1" applyProtection="1">
      <alignment horizontal="center" vertical="center" wrapText="1"/>
      <protection locked="0"/>
    </xf>
    <xf numFmtId="10" fontId="22" fillId="0" borderId="8" xfId="0" applyNumberFormat="1" applyFont="1" applyFill="1" applyBorder="1" applyAlignment="1" applyProtection="1">
      <alignment horizontal="center" vertical="center" wrapText="1"/>
      <protection locked="0"/>
    </xf>
    <xf numFmtId="2" fontId="11" fillId="0" borderId="0" xfId="0" applyNumberFormat="1" applyFont="1" applyAlignment="1" applyProtection="1">
      <alignment wrapText="1"/>
      <protection locked="0"/>
    </xf>
    <xf numFmtId="2" fontId="11" fillId="0" borderId="0" xfId="0" applyNumberFormat="1" applyFont="1" applyAlignment="1" applyProtection="1">
      <alignment vertical="center" wrapText="1"/>
      <protection locked="0"/>
    </xf>
    <xf numFmtId="2" fontId="21" fillId="2" borderId="3" xfId="4" applyNumberFormat="1" applyFont="1" applyFill="1" applyBorder="1" applyAlignment="1" applyProtection="1">
      <alignment horizontal="center" vertical="center" wrapText="1"/>
      <protection locked="0"/>
    </xf>
    <xf numFmtId="2" fontId="22" fillId="0" borderId="8" xfId="1" applyNumberFormat="1" applyFont="1" applyFill="1" applyBorder="1" applyAlignment="1" applyProtection="1">
      <alignment horizontal="center" vertical="center" wrapText="1"/>
      <protection locked="0"/>
    </xf>
    <xf numFmtId="172" fontId="11" fillId="0" borderId="0" xfId="0" applyNumberFormat="1" applyFont="1" applyAlignment="1" applyProtection="1">
      <alignment wrapText="1"/>
      <protection locked="0"/>
    </xf>
    <xf numFmtId="172" fontId="11" fillId="0" borderId="0" xfId="0" applyNumberFormat="1" applyFont="1" applyAlignment="1" applyProtection="1">
      <alignment vertical="center" wrapText="1"/>
      <protection locked="0"/>
    </xf>
    <xf numFmtId="172" fontId="21" fillId="2" borderId="3" xfId="4" applyNumberFormat="1" applyFont="1" applyFill="1" applyBorder="1" applyAlignment="1" applyProtection="1">
      <alignment horizontal="center" vertical="center" wrapText="1"/>
      <protection locked="0"/>
    </xf>
    <xf numFmtId="173" fontId="11" fillId="0" borderId="0" xfId="1" applyNumberFormat="1" applyFont="1" applyAlignment="1" applyProtection="1">
      <alignment horizontal="right" vertical="center"/>
      <protection locked="0"/>
    </xf>
    <xf numFmtId="173" fontId="6" fillId="0" borderId="0" xfId="1" applyNumberFormat="1" applyFont="1" applyAlignment="1" applyProtection="1">
      <alignment vertical="center"/>
      <protection locked="0"/>
    </xf>
    <xf numFmtId="173" fontId="11" fillId="0" borderId="0" xfId="1" applyNumberFormat="1" applyFont="1" applyAlignment="1" applyProtection="1">
      <alignment horizontal="center" vertical="center"/>
      <protection locked="0"/>
    </xf>
    <xf numFmtId="0" fontId="11" fillId="0" borderId="0" xfId="0" applyFont="1" applyAlignment="1" applyProtection="1">
      <alignment horizontal="center" vertical="center"/>
      <protection locked="0"/>
    </xf>
    <xf numFmtId="173" fontId="11" fillId="0" borderId="0" xfId="1" applyNumberFormat="1" applyFont="1" applyAlignment="1" applyProtection="1">
      <alignment vertical="center"/>
      <protection locked="0"/>
    </xf>
    <xf numFmtId="173" fontId="6" fillId="0" borderId="0" xfId="1" applyNumberFormat="1" applyFont="1" applyAlignment="1" applyProtection="1">
      <alignment horizontal="left" vertical="center"/>
      <protection locked="0"/>
    </xf>
    <xf numFmtId="173" fontId="14" fillId="0" borderId="0" xfId="1" applyNumberFormat="1" applyFont="1" applyAlignment="1" applyProtection="1">
      <alignment vertical="center"/>
      <protection locked="0"/>
    </xf>
    <xf numFmtId="0" fontId="12" fillId="0" borderId="0" xfId="1" applyNumberFormat="1" applyFont="1" applyAlignment="1" applyProtection="1">
      <alignment horizontal="right" vertical="center"/>
      <protection locked="0"/>
    </xf>
    <xf numFmtId="0" fontId="14" fillId="0" borderId="0" xfId="1" applyNumberFormat="1" applyFont="1" applyAlignment="1" applyProtection="1">
      <alignment horizontal="center" vertical="center"/>
      <protection locked="0"/>
    </xf>
    <xf numFmtId="0" fontId="12" fillId="0" borderId="0" xfId="1" applyNumberFormat="1" applyFont="1" applyAlignment="1" applyProtection="1">
      <alignment horizontal="center" vertical="center"/>
      <protection locked="0"/>
    </xf>
    <xf numFmtId="0" fontId="12" fillId="0" borderId="0" xfId="0" applyNumberFormat="1" applyFont="1" applyAlignment="1" applyProtection="1">
      <alignment horizontal="center" vertical="center"/>
      <protection locked="0"/>
    </xf>
    <xf numFmtId="0" fontId="21" fillId="2" borderId="0" xfId="1" applyNumberFormat="1" applyFont="1" applyFill="1" applyAlignment="1" applyProtection="1">
      <alignment horizontal="center" vertical="center"/>
      <protection locked="0"/>
    </xf>
    <xf numFmtId="173" fontId="11" fillId="0" borderId="0" xfId="1" applyNumberFormat="1" applyFont="1" applyAlignment="1" applyProtection="1">
      <alignment horizontal="center" vertical="center"/>
    </xf>
    <xf numFmtId="0" fontId="12" fillId="0" borderId="0" xfId="1" applyNumberFormat="1" applyFont="1" applyAlignment="1" applyProtection="1">
      <alignment horizontal="center" vertical="center"/>
    </xf>
    <xf numFmtId="173" fontId="11" fillId="5" borderId="8" xfId="1" applyNumberFormat="1" applyFont="1" applyFill="1" applyBorder="1" applyAlignment="1" applyProtection="1">
      <alignment horizontal="center" vertical="center" wrapText="1"/>
    </xf>
    <xf numFmtId="166" fontId="13" fillId="0" borderId="8" xfId="0" applyNumberFormat="1" applyFont="1" applyBorder="1" applyAlignment="1">
      <alignment horizontal="center" vertical="center"/>
    </xf>
    <xf numFmtId="9" fontId="10" fillId="9" borderId="3" xfId="2" applyNumberFormat="1" applyFont="1" applyFill="1" applyBorder="1" applyAlignment="1">
      <alignment horizontal="right" vertical="center"/>
    </xf>
    <xf numFmtId="166" fontId="13" fillId="0" borderId="7" xfId="0" applyNumberFormat="1" applyFont="1" applyBorder="1" applyAlignment="1">
      <alignment horizontal="right" vertical="center"/>
    </xf>
    <xf numFmtId="0" fontId="13" fillId="0" borderId="8" xfId="0" applyNumberFormat="1" applyFont="1" applyBorder="1" applyAlignment="1">
      <alignment horizontal="right" vertical="center"/>
    </xf>
    <xf numFmtId="166" fontId="10" fillId="9" borderId="8" xfId="0" applyNumberFormat="1" applyFont="1" applyFill="1" applyBorder="1" applyAlignment="1">
      <alignment horizontal="right" vertical="center"/>
    </xf>
    <xf numFmtId="9" fontId="11" fillId="9" borderId="2" xfId="1" applyNumberFormat="1" applyFont="1" applyFill="1" applyBorder="1" applyAlignment="1">
      <alignment horizontal="right" vertical="center"/>
    </xf>
    <xf numFmtId="173" fontId="22" fillId="0" borderId="3" xfId="1" applyNumberFormat="1" applyFont="1" applyBorder="1" applyAlignment="1" applyProtection="1">
      <alignment horizontal="center" vertical="center" wrapText="1"/>
      <protection locked="0"/>
    </xf>
    <xf numFmtId="173" fontId="22" fillId="5" borderId="12" xfId="1" applyNumberFormat="1" applyFont="1" applyFill="1" applyBorder="1" applyAlignment="1" applyProtection="1">
      <alignment horizontal="center" vertical="center" wrapText="1"/>
    </xf>
    <xf numFmtId="10" fontId="22" fillId="0" borderId="12" xfId="2" applyNumberFormat="1" applyFont="1" applyFill="1" applyBorder="1" applyAlignment="1" applyProtection="1">
      <alignment horizontal="center" vertical="center" wrapText="1"/>
      <protection locked="0"/>
    </xf>
    <xf numFmtId="173" fontId="21" fillId="2" borderId="1" xfId="1" applyNumberFormat="1" applyFont="1" applyFill="1" applyBorder="1" applyAlignment="1" applyProtection="1">
      <alignment horizontal="center" vertical="center" wrapText="1"/>
      <protection locked="0"/>
    </xf>
    <xf numFmtId="173" fontId="21" fillId="2" borderId="1" xfId="1" applyNumberFormat="1" applyFont="1" applyFill="1" applyBorder="1" applyAlignment="1" applyProtection="1">
      <alignment horizontal="center" vertical="center" wrapText="1"/>
    </xf>
    <xf numFmtId="0" fontId="21" fillId="2" borderId="1" xfId="0" applyFont="1" applyFill="1" applyBorder="1" applyAlignment="1" applyProtection="1">
      <alignment horizontal="center" vertical="center" wrapText="1"/>
      <protection locked="0"/>
    </xf>
    <xf numFmtId="173" fontId="26" fillId="0" borderId="0" xfId="1" applyNumberFormat="1" applyFont="1" applyAlignment="1" applyProtection="1">
      <alignment vertical="center"/>
      <protection locked="0"/>
    </xf>
    <xf numFmtId="43" fontId="11" fillId="0" borderId="0" xfId="1" applyFont="1"/>
    <xf numFmtId="0" fontId="44" fillId="0" borderId="0" xfId="5" applyFont="1"/>
    <xf numFmtId="166" fontId="10" fillId="10" borderId="8" xfId="0" applyNumberFormat="1" applyFont="1" applyFill="1" applyBorder="1" applyAlignment="1">
      <alignment horizontal="center" vertical="center"/>
    </xf>
    <xf numFmtId="166" fontId="10" fillId="10" borderId="3" xfId="0" applyNumberFormat="1" applyFont="1" applyFill="1" applyBorder="1" applyAlignment="1">
      <alignment horizontal="center" vertical="center"/>
    </xf>
    <xf numFmtId="166" fontId="10" fillId="9" borderId="8" xfId="0" applyNumberFormat="1" applyFont="1" applyFill="1" applyBorder="1" applyAlignment="1">
      <alignment horizontal="center" vertical="center"/>
    </xf>
    <xf numFmtId="166" fontId="10" fillId="9" borderId="12" xfId="0" applyNumberFormat="1" applyFont="1" applyFill="1" applyBorder="1" applyAlignment="1">
      <alignment horizontal="center" vertical="center"/>
    </xf>
    <xf numFmtId="166" fontId="10" fillId="9" borderId="3" xfId="0" applyNumberFormat="1" applyFont="1" applyFill="1" applyBorder="1" applyAlignment="1">
      <alignment horizontal="center" vertical="center"/>
    </xf>
    <xf numFmtId="166" fontId="10" fillId="10" borderId="12" xfId="0" applyNumberFormat="1" applyFont="1" applyFill="1" applyBorder="1" applyAlignment="1">
      <alignment horizontal="center" vertical="center"/>
    </xf>
    <xf numFmtId="166" fontId="10" fillId="14" borderId="7" xfId="0" applyNumberFormat="1" applyFont="1" applyFill="1" applyBorder="1" applyAlignment="1">
      <alignment horizontal="center" vertical="center" wrapText="1"/>
    </xf>
    <xf numFmtId="166" fontId="10" fillId="14" borderId="11" xfId="0" applyNumberFormat="1" applyFont="1" applyFill="1" applyBorder="1" applyAlignment="1">
      <alignment horizontal="center" vertical="center" wrapText="1"/>
    </xf>
    <xf numFmtId="166" fontId="10" fillId="14" borderId="2" xfId="0" applyNumberFormat="1" applyFont="1" applyFill="1" applyBorder="1" applyAlignment="1">
      <alignment horizontal="center" vertical="center" wrapText="1"/>
    </xf>
    <xf numFmtId="166" fontId="10" fillId="9" borderId="7" xfId="0" applyNumberFormat="1" applyFont="1" applyFill="1" applyBorder="1" applyAlignment="1">
      <alignment horizontal="center" vertical="center" wrapText="1"/>
    </xf>
    <xf numFmtId="166" fontId="10" fillId="9" borderId="11" xfId="0" applyNumberFormat="1" applyFont="1" applyFill="1" applyBorder="1" applyAlignment="1">
      <alignment horizontal="center" vertical="center" wrapText="1"/>
    </xf>
    <xf numFmtId="166" fontId="10" fillId="9" borderId="2" xfId="0" applyNumberFormat="1" applyFont="1" applyFill="1" applyBorder="1" applyAlignment="1">
      <alignment horizontal="center" vertical="center" wrapText="1"/>
    </xf>
    <xf numFmtId="166" fontId="10" fillId="10" borderId="12" xfId="0" applyNumberFormat="1" applyFont="1" applyFill="1" applyBorder="1" applyAlignment="1">
      <alignment horizontal="center" vertical="center" wrapText="1"/>
    </xf>
    <xf numFmtId="166" fontId="10" fillId="10" borderId="3" xfId="0" applyNumberFormat="1" applyFont="1" applyFill="1" applyBorder="1" applyAlignment="1">
      <alignment horizontal="center" vertical="center" wrapText="1"/>
    </xf>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117">
    <dxf>
      <numFmt numFmtId="167" formatCode="&quot;$&quot;#,##0.00"/>
    </dxf>
    <dxf>
      <numFmt numFmtId="4" formatCode="#,##0.00"/>
    </dxf>
    <dxf>
      <numFmt numFmtId="14" formatCode="0.00%"/>
    </dxf>
    <dxf>
      <font>
        <b/>
        <i val="0"/>
      </font>
      <numFmt numFmtId="0" formatCode="General"/>
      <fill>
        <patternFill patternType="none">
          <bgColor auto="1"/>
        </patternFill>
      </fill>
    </dxf>
    <dxf>
      <font>
        <b/>
        <i val="0"/>
      </font>
      <fill>
        <patternFill patternType="none">
          <bgColor auto="1"/>
        </patternFill>
      </fill>
    </dxf>
    <dxf>
      <font>
        <b/>
        <i val="0"/>
      </font>
      <fill>
        <patternFill patternType="none">
          <bgColor auto="1"/>
        </patternFill>
      </fill>
    </dxf>
    <dxf>
      <font>
        <b/>
        <i val="0"/>
      </font>
      <numFmt numFmtId="0" formatCode="General"/>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font>
        <color theme="0"/>
      </font>
      <fill>
        <patternFill>
          <bgColor rgb="FFC00000"/>
        </patternFill>
      </fill>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numFmt numFmtId="0" formatCode="General"/>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numFmt numFmtId="0" formatCode="General"/>
      <fill>
        <patternFill patternType="none">
          <bgColor auto="1"/>
        </patternFill>
      </fill>
    </dxf>
    <dxf>
      <font>
        <b/>
        <i val="0"/>
      </font>
      <border>
        <left/>
        <right/>
        <top/>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numFmt numFmtId="0" formatCode="General"/>
      <fill>
        <patternFill patternType="none">
          <bgColor auto="1"/>
        </patternFill>
      </fill>
    </dxf>
    <dxf>
      <font>
        <b/>
        <i val="0"/>
      </font>
      <numFmt numFmtId="0" formatCode="General"/>
      <fill>
        <patternFill patternType="none">
          <bgColor auto="1"/>
        </patternFill>
      </fill>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numFmt numFmtId="0" formatCode="General"/>
      <border>
        <left/>
        <right/>
        <top/>
        <bottom/>
        <vertical/>
        <horizontal/>
      </border>
    </dxf>
    <dxf>
      <font>
        <b/>
        <i val="0"/>
      </font>
      <numFmt numFmtId="0" formatCode="General"/>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color theme="0"/>
      </font>
      <fill>
        <patternFill>
          <bgColor rgb="FFC00000"/>
        </patternFill>
      </fill>
    </dxf>
    <dxf>
      <font>
        <color theme="0"/>
      </font>
      <fill>
        <patternFill>
          <bgColor theme="0" tint="-0.24994659260841701"/>
        </patternFill>
      </fill>
    </dxf>
    <dxf>
      <font>
        <color theme="0"/>
      </font>
      <fill>
        <patternFill>
          <bgColor rgb="FFC00000"/>
        </patternFill>
      </fill>
    </dxf>
    <dxf>
      <font>
        <color theme="1"/>
      </font>
      <fill>
        <patternFill>
          <bgColor rgb="FFFFC000"/>
        </patternFill>
      </fill>
    </dxf>
    <dxf>
      <font>
        <color theme="1"/>
      </font>
      <fill>
        <patternFill>
          <bgColor rgb="FFFFC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rgb="FFCCDC00"/>
      </font>
      <fill>
        <patternFill>
          <bgColor rgb="FF005172"/>
        </patternFill>
      </fill>
      <border>
        <left style="thin">
          <color auto="1"/>
        </left>
        <right style="thin">
          <color auto="1"/>
        </right>
        <top style="thin">
          <color auto="1"/>
        </top>
        <bottom style="thin">
          <color auto="1"/>
        </bottom>
        <vertical/>
        <horizontal/>
      </border>
    </dxf>
    <dxf>
      <font>
        <color theme="0"/>
      </font>
      <fill>
        <patternFill>
          <bgColor rgb="FFC00000"/>
        </patternFill>
      </fill>
    </dxf>
    <dxf>
      <fill>
        <patternFill>
          <bgColor theme="0"/>
        </patternFill>
      </fill>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alignment horizontal="center" vertical="center" textRotation="0" indent="0" justifyLastLine="0" shrinkToFit="0" readingOrder="0"/>
      <border diagonalUp="0" diagonalDown="0" outline="0">
        <left/>
        <right/>
        <top style="thin">
          <color indexed="64"/>
        </top>
        <bottom style="thin">
          <color indexed="64"/>
        </bottom>
      </border>
    </dxf>
    <dxf>
      <font>
        <strike val="0"/>
        <outline val="0"/>
        <shadow val="0"/>
        <u val="none"/>
        <vertAlign val="baseline"/>
        <sz val="9"/>
        <name val="Arial"/>
        <family val="2"/>
        <scheme val="none"/>
      </font>
      <numFmt numFmtId="167" formatCode="&quot;$&quot;#,##0.00"/>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vertical="center" textRotation="0" indent="0" justifyLastLine="0" shrinkToFit="0" readingOrder="0"/>
    </dxf>
    <dxf>
      <border>
        <bottom style="thin">
          <color indexed="64"/>
        </bottom>
      </border>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vertical/>
        <horizontal/>
      </border>
      <protection locked="0" hidden="0"/>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9"/>
        <color theme="1"/>
        <name val="Arial"/>
        <family val="2"/>
        <scheme val="none"/>
      </font>
      <numFmt numFmtId="167" formatCode="&quot;$&quot;#,##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72" formatCode="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vertical/>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protection locked="0" hidden="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173" formatCode="#,##0_ ;\-#,##0\ "/>
      <fill>
        <patternFill patternType="solid">
          <fgColor indexed="64"/>
          <bgColor theme="0" tint="-0.34998626667073579"/>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1" hidden="0"/>
    </dxf>
    <dxf>
      <font>
        <strike val="0"/>
        <outline val="0"/>
        <shadow val="0"/>
        <vertAlign val="baseline"/>
        <sz val="9"/>
        <name val="Arial"/>
        <family val="2"/>
        <scheme val="none"/>
      </font>
      <numFmt numFmtId="173" formatCode="#,##0_ ;\-#,##0\ "/>
      <fill>
        <patternFill patternType="solid">
          <fgColor indexed="64"/>
          <bgColor theme="0" tint="-0.34998626667073579"/>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1"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numFmt numFmtId="3" formatCode="#,##0"/>
      <alignment horizontal="center" vertical="center" textRotation="0" indent="0" justifyLastLine="0" shrinkToFit="0" readingOrder="0"/>
      <protection locked="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0" hidden="0"/>
    </dxf>
    <dxf>
      <font>
        <strike val="0"/>
        <outline val="0"/>
        <shadow val="0"/>
        <u val="none"/>
        <vertAlign val="baseline"/>
        <sz val="11"/>
        <color theme="0"/>
        <name val="Calibri"/>
        <family val="2"/>
        <scheme val="minor"/>
      </font>
      <numFmt numFmtId="19" formatCode="yyyy/mm/dd"/>
    </dxf>
    <dxf>
      <font>
        <strike val="0"/>
        <outline val="0"/>
        <shadow val="0"/>
        <u val="none"/>
        <vertAlign val="baseline"/>
        <sz val="11"/>
        <color theme="0"/>
        <name val="Calibri"/>
        <family val="2"/>
        <scheme val="minor"/>
      </font>
      <alignment horizontal="right" vertical="center" textRotation="0" wrapText="1" indent="0" justifyLastLine="0" shrinkToFit="0" readingOrder="0"/>
    </dxf>
    <dxf>
      <border>
        <bottom style="thick">
          <color theme="0" tint="-0.34998626667073579"/>
        </bottom>
      </border>
    </dxf>
    <dxf>
      <font>
        <b/>
        <strike val="0"/>
        <outline val="0"/>
        <shadow val="0"/>
        <u val="none"/>
        <vertAlign val="baseline"/>
        <sz val="10"/>
        <color theme="1"/>
        <name val="Arial"/>
        <family val="2"/>
        <scheme val="none"/>
      </font>
      <fill>
        <patternFill patternType="solid">
          <fgColor indexed="64"/>
          <bgColor theme="0" tint="-0.249977111117893"/>
        </patternFill>
      </fill>
      <alignment horizontal="center" vertical="bottom" textRotation="0" wrapText="1" indent="0" justifyLastLine="0" shrinkToFit="0" readingOrder="0"/>
      <border diagonalUp="0" diagonalDown="0" outline="0">
        <left/>
        <right/>
        <top/>
        <bottom/>
      </border>
    </dxf>
  </dxfs>
  <tableStyles count="0" defaultTableStyle="TableStyleMedium2" defaultPivotStyle="PivotStyleLight16"/>
  <colors>
    <mruColors>
      <color rgb="FFCCDC00"/>
      <color rgb="FF005172"/>
      <color rgb="FFFF3399"/>
      <color rgb="FF6F6F6F"/>
      <color rgb="FF686868"/>
      <color rgb="FF606060"/>
      <color rgb="FFFFFFFF"/>
      <color rgb="FFFF5050"/>
      <color rgb="FFF4E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 Target="richData/rdrichvalue.xml"/><Relationship Id="rId26" Type="http://schemas.openxmlformats.org/officeDocument/2006/relationships/customXml" Target="../customXml/item5.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sharedStrings" Target="sharedStrings.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styles" Target="styles.xml"/><Relationship Id="rId23" Type="http://schemas.openxmlformats.org/officeDocument/2006/relationships/customXml" Target="../customXml/item2.xml"/><Relationship Id="rId10" Type="http://schemas.openxmlformats.org/officeDocument/2006/relationships/worksheet" Target="worksheets/sheet10.xml"/><Relationship Id="rId19" Type="http://schemas.microsoft.com/office/2017/06/relationships/rdRichValueStructure" Target="richData/rdrichvaluestructur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hyperlink" Target="#InitiativeDetailsLandi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StakeholderProfileLanding"/><Relationship Id="rId2" Type="http://schemas.openxmlformats.org/officeDocument/2006/relationships/hyperlink" Target="#ActivityLanding"/><Relationship Id="rId1" Type="http://schemas.openxmlformats.org/officeDocument/2006/relationships/hyperlink" Target="#InitiativeDetailsLanding"/><Relationship Id="rId4" Type="http://schemas.openxmlformats.org/officeDocument/2006/relationships/hyperlink" Target="#AnnualStakeholderCounts"/></Relationships>
</file>

<file path=xl/drawings/_rels/drawing4.xml.rels><?xml version="1.0" encoding="UTF-8" standalone="yes"?>
<Relationships xmlns="http://schemas.openxmlformats.org/package/2006/relationships"><Relationship Id="rId8" Type="http://schemas.openxmlformats.org/officeDocument/2006/relationships/hyperlink" Target="#CostBenefitStatementLanding"/><Relationship Id="rId3" Type="http://schemas.openxmlformats.org/officeDocument/2006/relationships/hyperlink" Target="#SBLLanding"/><Relationship Id="rId7" Type="http://schemas.openxmlformats.org/officeDocument/2006/relationships/hyperlink" Target="#AnnualImpactLanding"/><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image" Target="../media/image3.svg"/><Relationship Id="rId5" Type="http://schemas.openxmlformats.org/officeDocument/2006/relationships/image" Target="../media/image2.png"/><Relationship Id="rId4" Type="http://schemas.openxmlformats.org/officeDocument/2006/relationships/hyperlink" Target="#Custom_Labour"/></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66675</xdr:rowOff>
    </xdr:from>
    <xdr:to>
      <xdr:col>15</xdr:col>
      <xdr:colOff>454301</xdr:colOff>
      <xdr:row>13</xdr:row>
      <xdr:rowOff>72389</xdr:rowOff>
    </xdr:to>
    <xdr:pic>
      <xdr:nvPicPr>
        <xdr:cNvPr id="7" name="Picture 6">
          <a:extLst>
            <a:ext uri="{FF2B5EF4-FFF2-40B4-BE49-F238E27FC236}">
              <a16:creationId xmlns:a16="http://schemas.microsoft.com/office/drawing/2014/main" id="{E369B93A-2FFF-B35A-4FC1-1F8A0287368C}"/>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5459" b="34290"/>
        <a:stretch/>
      </xdr:blipFill>
      <xdr:spPr bwMode="auto">
        <a:xfrm>
          <a:off x="0" y="66675"/>
          <a:ext cx="11737616" cy="2084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279684</xdr:colOff>
      <xdr:row>14</xdr:row>
      <xdr:rowOff>150478</xdr:rowOff>
    </xdr:from>
    <xdr:to>
      <xdr:col>15</xdr:col>
      <xdr:colOff>40556</xdr:colOff>
      <xdr:row>18</xdr:row>
      <xdr:rowOff>34726</xdr:rowOff>
    </xdr:to>
    <xdr:sp macro="" textlink="">
      <xdr:nvSpPr>
        <xdr:cNvPr id="23" name="Arrow: Right 22">
          <a:hlinkClick xmlns:r="http://schemas.openxmlformats.org/officeDocument/2006/relationships" r:id="rId2"/>
          <a:extLst>
            <a:ext uri="{FF2B5EF4-FFF2-40B4-BE49-F238E27FC236}">
              <a16:creationId xmlns:a16="http://schemas.microsoft.com/office/drawing/2014/main" id="{388B0E6F-F1FA-48AA-B362-4E2E1821DF4B}"/>
            </a:ext>
          </a:extLst>
        </xdr:cNvPr>
        <xdr:cNvSpPr/>
      </xdr:nvSpPr>
      <xdr:spPr>
        <a:xfrm rot="10800000" flipH="1" flipV="1">
          <a:off x="7512115" y="2449616"/>
          <a:ext cx="3426355" cy="537334"/>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47624</xdr:colOff>
      <xdr:row>0</xdr:row>
      <xdr:rowOff>47625</xdr:rowOff>
    </xdr:from>
    <xdr:to>
      <xdr:col>15</xdr:col>
      <xdr:colOff>455543</xdr:colOff>
      <xdr:row>13</xdr:row>
      <xdr:rowOff>38100</xdr:rowOff>
    </xdr:to>
    <xdr:sp macro="" textlink="">
      <xdr:nvSpPr>
        <xdr:cNvPr id="24" name="Rectangle 23">
          <a:extLst>
            <a:ext uri="{FF2B5EF4-FFF2-40B4-BE49-F238E27FC236}">
              <a16:creationId xmlns:a16="http://schemas.microsoft.com/office/drawing/2014/main" id="{C4313702-C0E8-59CB-624D-910C26E3D095}"/>
            </a:ext>
          </a:extLst>
        </xdr:cNvPr>
        <xdr:cNvSpPr/>
      </xdr:nvSpPr>
      <xdr:spPr>
        <a:xfrm>
          <a:off x="47624" y="47625"/>
          <a:ext cx="11324397" cy="2143953"/>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0</xdr:col>
      <xdr:colOff>47624</xdr:colOff>
      <xdr:row>13</xdr:row>
      <xdr:rowOff>38100</xdr:rowOff>
    </xdr:from>
    <xdr:to>
      <xdr:col>15</xdr:col>
      <xdr:colOff>455543</xdr:colOff>
      <xdr:row>54</xdr:row>
      <xdr:rowOff>38100</xdr:rowOff>
    </xdr:to>
    <xdr:sp macro="" textlink="">
      <xdr:nvSpPr>
        <xdr:cNvPr id="25" name="Rectangle 24">
          <a:extLst>
            <a:ext uri="{FF2B5EF4-FFF2-40B4-BE49-F238E27FC236}">
              <a16:creationId xmlns:a16="http://schemas.microsoft.com/office/drawing/2014/main" id="{4C6EE5CA-315C-42EB-A34B-0757067013EC}"/>
            </a:ext>
          </a:extLst>
        </xdr:cNvPr>
        <xdr:cNvSpPr/>
      </xdr:nvSpPr>
      <xdr:spPr>
        <a:xfrm>
          <a:off x="47624" y="2191578"/>
          <a:ext cx="11324397" cy="6700631"/>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1107132</xdr:colOff>
      <xdr:row>15</xdr:row>
      <xdr:rowOff>57860</xdr:rowOff>
    </xdr:from>
    <xdr:to>
      <xdr:col>4</xdr:col>
      <xdr:colOff>189375</xdr:colOff>
      <xdr:row>17</xdr:row>
      <xdr:rowOff>57593</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4930384" y="3910433"/>
          <a:ext cx="2329026" cy="38404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110177</xdr:colOff>
      <xdr:row>6</xdr:row>
      <xdr:rowOff>186378</xdr:rowOff>
    </xdr:from>
    <xdr:to>
      <xdr:col>1</xdr:col>
      <xdr:colOff>2471877</xdr:colOff>
      <xdr:row>7</xdr:row>
      <xdr:rowOff>225658</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09165" y="2065294"/>
          <a:ext cx="2375035" cy="35814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9</xdr:col>
      <xdr:colOff>379527</xdr:colOff>
      <xdr:row>6</xdr:row>
      <xdr:rowOff>118304</xdr:rowOff>
    </xdr:from>
    <xdr:to>
      <xdr:col>10</xdr:col>
      <xdr:colOff>1413346</xdr:colOff>
      <xdr:row>7</xdr:row>
      <xdr:rowOff>155733</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0930296" y="2010555"/>
          <a:ext cx="2325263" cy="354392"/>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1</xdr:col>
      <xdr:colOff>33935</xdr:colOff>
      <xdr:row>2</xdr:row>
      <xdr:rowOff>225008</xdr:rowOff>
    </xdr:from>
    <xdr:to>
      <xdr:col>6</xdr:col>
      <xdr:colOff>34308</xdr:colOff>
      <xdr:row>4</xdr:row>
      <xdr:rowOff>223995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736733" y="855123"/>
          <a:ext cx="6711835" cy="619578"/>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twoCellAnchor editAs="absolute">
    <xdr:from>
      <xdr:col>24</xdr:col>
      <xdr:colOff>225480</xdr:colOff>
      <xdr:row>2</xdr:row>
      <xdr:rowOff>41466</xdr:rowOff>
    </xdr:from>
    <xdr:to>
      <xdr:col>25</xdr:col>
      <xdr:colOff>186009</xdr:colOff>
      <xdr:row>3</xdr:row>
      <xdr:rowOff>109593</xdr:rowOff>
    </xdr:to>
    <xdr:sp macro="" textlink="">
      <xdr:nvSpPr>
        <xdr:cNvPr id="5" name="Arrow: Left 4">
          <a:hlinkClick xmlns:r="http://schemas.openxmlformats.org/officeDocument/2006/relationships" r:id="rId3"/>
          <a:extLst>
            <a:ext uri="{FF2B5EF4-FFF2-40B4-BE49-F238E27FC236}">
              <a16:creationId xmlns:a16="http://schemas.microsoft.com/office/drawing/2014/main" id="{A2F78773-9F01-4565-85D9-059E83F1F7AB}"/>
            </a:ext>
          </a:extLst>
        </xdr:cNvPr>
        <xdr:cNvSpPr/>
      </xdr:nvSpPr>
      <xdr:spPr>
        <a:xfrm rot="10800000" flipH="1" flipV="1">
          <a:off x="27358395" y="666306"/>
          <a:ext cx="793014" cy="380547"/>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Back</a:t>
          </a:r>
        </a:p>
      </xdr:txBody>
    </xdr:sp>
    <xdr:clientData/>
  </xdr:twoCellAnchor>
  <xdr:twoCellAnchor editAs="absolute">
    <xdr:from>
      <xdr:col>9</xdr:col>
      <xdr:colOff>378941</xdr:colOff>
      <xdr:row>2</xdr:row>
      <xdr:rowOff>110975</xdr:rowOff>
    </xdr:from>
    <xdr:to>
      <xdr:col>10</xdr:col>
      <xdr:colOff>1412760</xdr:colOff>
      <xdr:row>3</xdr:row>
      <xdr:rowOff>148404</xdr:rowOff>
    </xdr:to>
    <xdr:sp macro="" textlink="">
      <xdr:nvSpPr>
        <xdr:cNvPr id="3" name="Arrow: Right 2">
          <a:hlinkClick xmlns:r="http://schemas.openxmlformats.org/officeDocument/2006/relationships" r:id="rId4"/>
          <a:extLst>
            <a:ext uri="{FF2B5EF4-FFF2-40B4-BE49-F238E27FC236}">
              <a16:creationId xmlns:a16="http://schemas.microsoft.com/office/drawing/2014/main" id="{DADDDF37-F3C1-4108-B386-8DC61149B246}"/>
            </a:ext>
          </a:extLst>
        </xdr:cNvPr>
        <xdr:cNvSpPr/>
      </xdr:nvSpPr>
      <xdr:spPr>
        <a:xfrm rot="10800000" flipH="1" flipV="1">
          <a:off x="10929710" y="723945"/>
          <a:ext cx="2325263" cy="354392"/>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75762</xdr:colOff>
      <xdr:row>8</xdr:row>
      <xdr:rowOff>41115</xdr:rowOff>
    </xdr:from>
    <xdr:to>
      <xdr:col>2</xdr:col>
      <xdr:colOff>804444</xdr:colOff>
      <xdr:row>10</xdr:row>
      <xdr:rowOff>118059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38011" y="1632334"/>
          <a:ext cx="2738345" cy="468942"/>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100" b="1">
              <a:solidFill>
                <a:schemeClr val="tx1"/>
              </a:solidFill>
              <a:latin typeface="Arial" panose="020B0604020202020204" pitchFamily="34" charset="0"/>
              <a:cs typeface="Arial" panose="020B0604020202020204" pitchFamily="34" charset="0"/>
            </a:rPr>
            <a:t>Previous Step: Stakeholder Profile</a:t>
          </a:r>
        </a:p>
      </xdr:txBody>
    </xdr:sp>
    <xdr:clientData/>
  </xdr:twoCellAnchor>
  <xdr:twoCellAnchor editAs="absolute">
    <xdr:from>
      <xdr:col>4</xdr:col>
      <xdr:colOff>117231</xdr:colOff>
      <xdr:row>8</xdr:row>
      <xdr:rowOff>155398</xdr:rowOff>
    </xdr:from>
    <xdr:to>
      <xdr:col>6</xdr:col>
      <xdr:colOff>498555</xdr:colOff>
      <xdr:row>10</xdr:row>
      <xdr:rowOff>4190</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a:spLocks/>
        </xdr:cNvSpPr>
      </xdr:nvSpPr>
      <xdr:spPr>
        <a:xfrm rot="10800000" flipH="1" flipV="1">
          <a:off x="4659897" y="1753004"/>
          <a:ext cx="2152487" cy="233113"/>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p>
      </xdr:txBody>
    </xdr:sp>
    <xdr:clientData/>
  </xdr:twoCellAnchor>
  <xdr:twoCellAnchor editAs="absolute">
    <xdr:from>
      <xdr:col>7</xdr:col>
      <xdr:colOff>796435</xdr:colOff>
      <xdr:row>8</xdr:row>
      <xdr:rowOff>156792</xdr:rowOff>
    </xdr:from>
    <xdr:to>
      <xdr:col>10</xdr:col>
      <xdr:colOff>378174</xdr:colOff>
      <xdr:row>10</xdr:row>
      <xdr:rowOff>4423</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8075988" y="1752493"/>
          <a:ext cx="2126507" cy="231952"/>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19</xdr:col>
      <xdr:colOff>614338</xdr:colOff>
      <xdr:row>8</xdr:row>
      <xdr:rowOff>155343</xdr:rowOff>
    </xdr:from>
    <xdr:to>
      <xdr:col>20</xdr:col>
      <xdr:colOff>766566</xdr:colOff>
      <xdr:row>10</xdr:row>
      <xdr:rowOff>4309</xdr:rowOff>
    </xdr:to>
    <xdr:sp macro="" textlink="">
      <xdr:nvSpPr>
        <xdr:cNvPr id="15" name="Rectangle 14">
          <a:hlinkClick xmlns:r="http://schemas.openxmlformats.org/officeDocument/2006/relationships" r:id="rId4"/>
          <a:extLst>
            <a:ext uri="{FF2B5EF4-FFF2-40B4-BE49-F238E27FC236}">
              <a16:creationId xmlns:a16="http://schemas.microsoft.com/office/drawing/2014/main" id="{00000000-0008-0000-0300-00000F000000}"/>
            </a:ext>
          </a:extLst>
        </xdr:cNvPr>
        <xdr:cNvSpPr/>
      </xdr:nvSpPr>
      <xdr:spPr>
        <a:xfrm rot="10800000" flipH="1" flipV="1">
          <a:off x="17658583" y="1751044"/>
          <a:ext cx="2172175" cy="233287"/>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4743</xdr:colOff>
      <xdr:row>3</xdr:row>
      <xdr:rowOff>33516</xdr:rowOff>
    </xdr:from>
    <xdr:to>
      <xdr:col>6</xdr:col>
      <xdr:colOff>499538</xdr:colOff>
      <xdr:row>6</xdr:row>
      <xdr:rowOff>186411</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812953" y="607722"/>
          <a:ext cx="6214667" cy="687431"/>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xdr:from>
      <xdr:col>20</xdr:col>
      <xdr:colOff>559010</xdr:colOff>
      <xdr:row>11</xdr:row>
      <xdr:rowOff>66886</xdr:rowOff>
    </xdr:from>
    <xdr:to>
      <xdr:col>20</xdr:col>
      <xdr:colOff>1056426</xdr:colOff>
      <xdr:row>11</xdr:row>
      <xdr:rowOff>564302</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21637275" y="4168239"/>
          <a:ext cx="497416" cy="497416"/>
        </a:xfrm>
        <a:prstGeom prst="rect">
          <a:avLst/>
        </a:prstGeom>
      </xdr:spPr>
    </xdr:pic>
    <xdr:clientData/>
  </xdr:twoCellAnchor>
  <xdr:twoCellAnchor>
    <xdr:from>
      <xdr:col>20</xdr:col>
      <xdr:colOff>3092933</xdr:colOff>
      <xdr:row>11</xdr:row>
      <xdr:rowOff>74706</xdr:rowOff>
    </xdr:from>
    <xdr:to>
      <xdr:col>20</xdr:col>
      <xdr:colOff>3590349</xdr:colOff>
      <xdr:row>11</xdr:row>
      <xdr:rowOff>572122</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22183754" y="2156599"/>
          <a:ext cx="497416" cy="497416"/>
        </a:xfrm>
        <a:prstGeom prst="rect">
          <a:avLst/>
        </a:prstGeom>
      </xdr:spPr>
    </xdr:pic>
    <xdr:clientData/>
  </xdr:twoCellAnchor>
  <xdr:twoCellAnchor editAs="absolute">
    <xdr:from>
      <xdr:col>12</xdr:col>
      <xdr:colOff>71791</xdr:colOff>
      <xdr:row>8</xdr:row>
      <xdr:rowOff>155588</xdr:rowOff>
    </xdr:from>
    <xdr:to>
      <xdr:col>15</xdr:col>
      <xdr:colOff>80253</xdr:colOff>
      <xdr:row>10</xdr:row>
      <xdr:rowOff>4608</xdr:rowOff>
    </xdr:to>
    <xdr:sp macro="" textlink="">
      <xdr:nvSpPr>
        <xdr:cNvPr id="3" name="Rectangle 2">
          <a:hlinkClick xmlns:r="http://schemas.openxmlformats.org/officeDocument/2006/relationships" r:id="rId7"/>
          <a:extLst>
            <a:ext uri="{FF2B5EF4-FFF2-40B4-BE49-F238E27FC236}">
              <a16:creationId xmlns:a16="http://schemas.microsoft.com/office/drawing/2014/main" id="{27C4E171-75C6-4052-9714-4BAF689A147D}"/>
            </a:ext>
          </a:extLst>
        </xdr:cNvPr>
        <xdr:cNvSpPr/>
      </xdr:nvSpPr>
      <xdr:spPr>
        <a:xfrm rot="10800000" flipH="1" flipV="1">
          <a:off x="11484904" y="1751289"/>
          <a:ext cx="2083020" cy="231436"/>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Annual Impact</a:t>
          </a:r>
        </a:p>
      </xdr:txBody>
    </xdr:sp>
    <xdr:clientData/>
  </xdr:twoCellAnchor>
  <xdr:twoCellAnchor editAs="absolute">
    <xdr:from>
      <xdr:col>16</xdr:col>
      <xdr:colOff>461350</xdr:colOff>
      <xdr:row>8</xdr:row>
      <xdr:rowOff>156993</xdr:rowOff>
    </xdr:from>
    <xdr:to>
      <xdr:col>18</xdr:col>
      <xdr:colOff>720246</xdr:colOff>
      <xdr:row>10</xdr:row>
      <xdr:rowOff>4108</xdr:rowOff>
    </xdr:to>
    <xdr:sp macro="" textlink="">
      <xdr:nvSpPr>
        <xdr:cNvPr id="6" name="Rectangle 5">
          <a:hlinkClick xmlns:r="http://schemas.openxmlformats.org/officeDocument/2006/relationships" r:id="rId8"/>
          <a:extLst>
            <a:ext uri="{FF2B5EF4-FFF2-40B4-BE49-F238E27FC236}">
              <a16:creationId xmlns:a16="http://schemas.microsoft.com/office/drawing/2014/main" id="{8D4396A4-C472-4D57-9352-BBAF002F015E}"/>
            </a:ext>
          </a:extLst>
        </xdr:cNvPr>
        <xdr:cNvSpPr/>
      </xdr:nvSpPr>
      <xdr:spPr>
        <a:xfrm rot="10800000" flipH="1" flipV="1">
          <a:off x="14636601" y="1750789"/>
          <a:ext cx="2142929" cy="233341"/>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Cost-benefit statement</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3390814</xdr:colOff>
      <xdr:row>9</xdr:row>
      <xdr:rowOff>148943</xdr:rowOff>
    </xdr:from>
    <xdr:to>
      <xdr:col>3</xdr:col>
      <xdr:colOff>347489</xdr:colOff>
      <xdr:row>12</xdr:row>
      <xdr:rowOff>33687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657514" y="1863443"/>
          <a:ext cx="2839315" cy="439099"/>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3</xdr:col>
      <xdr:colOff>948453</xdr:colOff>
      <xdr:row>11</xdr:row>
      <xdr:rowOff>117591</xdr:rowOff>
    </xdr:from>
    <xdr:to>
      <xdr:col>5</xdr:col>
      <xdr:colOff>1139461</xdr:colOff>
      <xdr:row>14</xdr:row>
      <xdr:rowOff>34279</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6596778" y="2222616"/>
          <a:ext cx="2991358" cy="46151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6</xdr:col>
      <xdr:colOff>918036</xdr:colOff>
      <xdr:row>9</xdr:row>
      <xdr:rowOff>76070</xdr:rowOff>
    </xdr:from>
    <xdr:to>
      <xdr:col>8</xdr:col>
      <xdr:colOff>151742</xdr:colOff>
      <xdr:row>11</xdr:row>
      <xdr:rowOff>33989</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9AB4D169-2627-4066-9154-FE9C81392580}"/>
            </a:ext>
          </a:extLst>
        </xdr:cNvPr>
        <xdr:cNvSpPr/>
      </xdr:nvSpPr>
      <xdr:spPr>
        <a:xfrm rot="10800000" flipH="1" flipV="1">
          <a:off x="10566647" y="1820778"/>
          <a:ext cx="2312833" cy="358513"/>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6</xdr:col>
      <xdr:colOff>621403</xdr:colOff>
      <xdr:row>8</xdr:row>
      <xdr:rowOff>188615</xdr:rowOff>
    </xdr:from>
    <xdr:to>
      <xdr:col>8</xdr:col>
      <xdr:colOff>618860</xdr:colOff>
      <xdr:row>12</xdr:row>
      <xdr:rowOff>6377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3F821B29-5429-4415-939B-DD7651B93662}"/>
            </a:ext>
          </a:extLst>
        </xdr:cNvPr>
        <xdr:cNvSpPr/>
      </xdr:nvSpPr>
      <xdr:spPr>
        <a:xfrm rot="10800000" flipH="1" flipV="1">
          <a:off x="9513733" y="1698633"/>
          <a:ext cx="2283457" cy="57277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6</xdr:col>
      <xdr:colOff>1666961</xdr:colOff>
      <xdr:row>6</xdr:row>
      <xdr:rowOff>148589</xdr:rowOff>
    </xdr:from>
    <xdr:to>
      <xdr:col>10</xdr:col>
      <xdr:colOff>156941</xdr:colOff>
      <xdr:row>10</xdr:row>
      <xdr:rowOff>18390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1799656" y="1108709"/>
          <a:ext cx="2402850" cy="475591"/>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 (Ctrl + Alt + F5)</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2" xr16:uid="{32D50E65-986C-41BB-BC3A-C8843264CE02}" autoFormatId="16" applyNumberFormats="0" applyBorderFormats="0" applyFontFormats="0" applyPatternFormats="0" applyAlignmentFormats="0" applyWidthHeightFormats="0">
  <queryTableRefresh nextId="10">
    <queryTableFields count="1">
      <queryTableField id="9" name="Right-click and Refresh this box to check for a new version" tableColumnId="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13</v>
    <v>7</v>
  </rv>
</rvData>
</file>

<file path=xl/richData/rdrichvaluestructure.xml><?xml version="1.0" encoding="utf-8"?>
<rvStructures xmlns="http://schemas.microsoft.com/office/spreadsheetml/2017/richdata" count="1">
  <s t="_error">
    <k n="errorType" t="i"/>
    <k n="subType" t="i"/>
  </s>
</rvStructure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15D52BA-1269-44CD-8FD7-EBCCD03C29C8}" name="Table_0__2" displayName="Table_0__2" ref="C23:C24" tableType="queryTable" totalsRowShown="0" headerRowDxfId="116" dataDxfId="114" headerRowBorderDxfId="115">
  <tableColumns count="1">
    <tableColumn id="1" xr3:uid="{EADD94CF-9F64-4ABB-BDD4-B2AE739C8E16}" uniqueName="1" name="Right-click and Refresh this box to check for a new version" queryTableFieldId="9" dataDxfId="113"/>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9:K11" totalsRowShown="0" headerRowDxfId="112" dataDxfId="110" headerRowBorderDxfId="111" tableBorderDxfId="109" totalsRowBorderDxfId="108">
  <sortState xmlns:xlrd2="http://schemas.microsoft.com/office/spreadsheetml/2017/richdata2" ref="B9:J10">
    <sortCondition ref="B9"/>
  </sortState>
  <tableColumns count="10">
    <tableColumn id="1" xr3:uid="{920BEA18-267B-450E-A764-D1B1BCDCB6CA}" name="Stakeholder Group" dataDxfId="107" dataCellStyle="Comma"/>
    <tableColumn id="2" xr3:uid="{6DEF87FF-4018-4CCC-AA7B-48BB3AA83B4F}" name="Non-business Count" dataDxfId="106" dataCellStyle="Comma"/>
    <tableColumn id="3" xr3:uid="{C411DE19-DA82-4F13-82B7-F1B3F5C007D9}" name="Small Business Count" dataDxfId="105" dataCellStyle="Comma"/>
    <tableColumn id="4" xr3:uid="{2821D350-189F-488F-A5C0-B64868EE3E0B}" name="Med/Large Business Count" dataDxfId="104" dataCellStyle="Comma"/>
    <tableColumn id="5" xr3:uid="{BEE60A7C-1D51-4E0C-BAC8-E9A211B9898A}" name="Total Business Count" dataDxfId="103" dataCellStyle="Comma">
      <calculatedColumnFormula>tbl_Stakeholders[[#This Row],[Small Business Count]]+tbl_Stakeholders[[#This Row],[Med/Large Business Count]]</calculatedColumnFormula>
    </tableColumn>
    <tableColumn id="6" xr3:uid="{02F67F9E-27FC-4254-8917-E5A57077B350}" name="Total Stakeholder Count" dataDxfId="102" dataCellStyle="Comma">
      <calculatedColumnFormula>tbl_Stakeholders[[#This Row],[Total Business Count]]+tbl_Stakeholders[[#This Row],[Non-business Count]]</calculatedColumnFormula>
    </tableColumn>
    <tableColumn id="7" xr3:uid="{C4E5A3C2-5587-4C6A-B637-AF20A4EBC801}" name="Non-business Growth Rate" dataDxfId="101"/>
    <tableColumn id="8" xr3:uid="{AF02A1C2-038B-404C-B16D-B49AFC50CABB}" name="Small Business Growth Rate" dataDxfId="100"/>
    <tableColumn id="9" xr3:uid="{267A6211-159E-4F86-B38D-F1BD02AB00CA}" name="Med/Large Business Growth Rate" dataDxfId="99"/>
    <tableColumn id="10" xr3:uid="{BC102B3C-339F-43E9-BA35-E017D3B34308}" name="Assumptions/Notes" dataDxfId="98" dataCellStyle="Comma"/>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2:V14" totalsRowShown="0" headerRowDxfId="97" dataDxfId="95" headerRowBorderDxfId="96" tableBorderDxfId="94" totalsRowBorderDxfId="93" headerRowCellStyle="Normal 2">
  <tableColumns count="21">
    <tableColumn id="1" xr3:uid="{65A099BC-738F-4CA0-85A2-8F4C8F82D830}" name="Activity" dataDxfId="92" dataCellStyle="Normal 2"/>
    <tableColumn id="2" xr3:uid="{2BE44DDF-2D28-448F-B936-D007FFA33384}" name="Administrative or Compliance" dataDxfId="91" dataCellStyle="Normal 2"/>
    <tableColumn id="3" xr3:uid="{1C632198-DE0B-4414-8650-8FE47D525F88}" name="Cost or Benefit" dataDxfId="90" dataCellStyle="Normal 2"/>
    <tableColumn id="4" xr3:uid="{0EDBD594-8489-4C44-9D96-F1ADEEBE0DBF}" name="Upfront or  Ongoing" dataDxfId="89" dataCellStyle="Normal 2"/>
    <tableColumn id="5" xr3:uid="{D1C308E2-BA3C-4525-B8CB-F4071E802FD6}" name="Start Year" dataDxfId="88" dataCellStyle="Normal 2"/>
    <tableColumn id="6" xr3:uid="{82BC7FDD-AB9E-44E9-82B3-C61093609B04}" name="End Year" dataDxfId="87" dataCellStyle="Normal 2"/>
    <tableColumn id="7" xr3:uid="{4613A8BF-D255-4AF4-83EE-F2CF2D752A38}" name="Affected Stakeholder Group" dataDxfId="86" dataCellStyle="Normal 2"/>
    <tableColumn id="8" xr3:uid="{4175C6BD-9CF3-4684-8984-D1801FD6D257}" name="Affected Stakeholder Type" dataDxfId="85" dataCellStyle="Normal 2"/>
    <tableColumn id="9" xr3:uid="{33B2DA87-38F9-46ED-ACF6-3FA9760927BC}" name="Percent Affected" dataDxfId="84"/>
    <tableColumn id="10" xr3:uid="{AC32CBFF-0012-4E5F-91A1-8B99F21311CB}" name="Apply to Existing Stakeholders" dataDxfId="83" dataCellStyle="Normal 2"/>
    <tableColumn id="11" xr3:uid="{C4E88C80-E17E-4F3D-9241-542D27B4CAD7}" name="Apply to New Entrants" dataDxfId="82" dataCellStyle="Normal 2"/>
    <tableColumn id="15" xr3:uid="{6844A7FD-391E-4057-939F-FCF18F6AA428}" name="Capital or Labour" dataDxfId="81"/>
    <tableColumn id="16" xr3:uid="{8F229652-99DE-4253-A024-A1F323856A06}" name="Capital: Number of Units" dataDxfId="80"/>
    <tableColumn id="17" xr3:uid="{BB41C012-479C-4840-B52C-496B641DD81E}" name="Capital: Unit Price" dataDxfId="79"/>
    <tableColumn id="18" xr3:uid="{2096BA5D-7391-4C33-A6F7-3AE237FF2546}" name="Capital: Price Year of Unit Price" dataDxfId="78"/>
    <tableColumn id="23" xr3:uid="{89B86BFE-2834-4E04-B671-5056B5F05212}" name="Annual Frequency" dataDxfId="77"/>
    <tableColumn id="22" xr3:uid="{76D19E14-9CED-42BB-9591-CCB81734D9AA}" name="Labour: Time Spent (hours)" dataDxfId="76" dataCellStyle="Comma"/>
    <tableColumn id="19" xr3:uid="{8BB445B7-7287-4EE8-A17F-0EB7CB9FF0D5}" name="Labour: Internal or External Overhead" dataDxfId="75"/>
    <tableColumn id="20" xr3:uid="{115F4724-1DC1-42A9-BE39-2FFAD4403AD2}" name="Labour: Staff Level (Hourly Wage Without Overhead)" dataDxfId="74"/>
    <tableColumn id="12" xr3:uid="{FF787A91-CF3E-4C57-A497-F051406D4F66}" name="Error Check" dataDxfId="73">
      <calculatedColumnFormula array="1">IF(CheckPartiallyBlank=1,"Some information is missing for this activity. ", "")
&amp;IF(CheckAppliesToNoone=1, IF(CheckTotallyBlank=1, "", "This activity does not apply to anyone. "), "")
&amp;IF(CheckNonBusiness=1,"All Non-Businesses were selected as the Affected Stakeholder Type, but there are no non-businesses for the Affected Stakeholder Group that has been selected. ","")
&amp;IF(CheckSmall=1,"Small businesses were selected as the Affected Stakeholder Type, but there are no small businesses for the Affected Stakeholder Group that has been selected. ","")
&amp;IF(CheckMedLarge=1,"Med/large businesses were selected as the Affected Stakeholder Type, but there are no med/large businesses for the Affected Stakeholder Group that has been selected. ","")
&amp;IF(CheckStakeholders=0,"This stakeholder cannot be found on the 'Stakeholder Profile' tab. Re-select a stakeholder group from the drop-down menu. ","")
&amp;IF(CheckStartEnd=1,"The start year is after the end year. ","")
&amp;IF(CheckUpfrontFreq=1,"Upfront activities are always modelled using a frequency of 1, so if you want to use a different frequency, consider using an ongoing activity. ","")
&amp;IF(CheckWages=1,"Something might be wrong with the wage. Re-select the Labour: Staff Level. ","")
&amp;IF(CheckHighFreq=1, "Consider using an annual frequency of 1 and multiplying the "&amp;IF(tbl_Activities[[#This Row],[Capital or Labour]]="Capital", "Number of Units", "Time Spent")&amp;" by "&amp;TEXT(tbl_Activities[[#This Row],[Annual Frequency]], "0.00")&amp;". ","")
&amp;IF(CheckCustomWage=1,"Ensure that the custom wage is expressed in "&amp;PriceYear&amp;" prices. To convert a value to "&amp;PriceYear&amp;" prices, try using the new formula =CONV(Value, OriginYear). ","")
&amp;IF(CheckNoImpact=1, IF(CheckTotallyBlank=1, "", "This activity does not result in any incremental impact. "),"")</calculatedColumnFormula>
    </tableColumn>
    <tableColumn id="13" xr3:uid="{52FC6E35-E9B5-4936-84ED-61D985E22842}" name="Assumptions/Notes" dataDxfId="72"/>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71" dataDxfId="69" headerRowBorderDxfId="70" tableBorderDxfId="68" totalsRowBorderDxfId="67">
  <tableColumns count="5">
    <tableColumn id="5" xr3:uid="{546662A6-01A3-4C42-A719-F272AA728E3F}" name="Number" dataDxfId="66" dataCellStyle="Normal 2">
      <calculatedColumnFormula>TEXT(ROW(C15)-ROW(tbl_Wages[[#Headers],[Number]]), "00")</calculatedColumnFormula>
    </tableColumn>
    <tableColumn id="1" xr3:uid="{20F5CDDD-338E-4621-9904-10A5A545C74E}" name="National Occupational Classification (NOC)" dataDxfId="65" dataCellStyle="Normal 2"/>
    <tableColumn id="2" xr3:uid="{D3390B37-54E8-41B2-AC1F-321DA8D5332A}" name="Price year of data source" dataDxfId="64" dataCellStyle="Normal 2"/>
    <tableColumn id="3" xr3:uid="{EDB81478-1C17-4622-92A5-1E9119F79F9B}" name="Wage in price year of data source (without overhead)" dataDxfId="63" dataCellStyle="Normal 2"/>
    <tableColumn id="4" xr3:uid="{9DE1072A-507C-4161-BC2C-B4FE4E367175}" name="Wage in price year of analysis (without overhead)" dataDxfId="62">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7" tableType="queryTable" totalsRowShown="0" headerRowDxfId="61" dataDxfId="59" headerRowBorderDxfId="60" tableBorderDxfId="58" totalsRowBorderDxfId="57">
  <tableColumns count="2">
    <tableColumn id="3" xr3:uid="{DA62A898-12CF-4A60-9FEB-00B4385E3C16}" uniqueName="3" name="Year" queryTableFieldId="3" dataDxfId="56"/>
    <tableColumn id="4" xr3:uid="{268D9651-8A8A-453A-AE71-8F05FF58D1B0}" uniqueName="4" name="Index" queryTableFieldId="4" dataDxfId="55"/>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7" Type="http://schemas.openxmlformats.org/officeDocument/2006/relationships/drawing" Target="../drawings/drawing1.xml"/><Relationship Id="rId2" Type="http://schemas.openxmlformats.org/officeDocument/2006/relationships/hyperlink" Target="mailto:CORE-CCR@tbs-sct.gc.ca" TargetMode="External"/><Relationship Id="rId1" Type="http://schemas.openxmlformats.org/officeDocument/2006/relationships/hyperlink" Target="https://web-archive.oecd.org/2012-06-15/153963-34227698.pdf" TargetMode="External"/><Relationship Id="rId6" Type="http://schemas.openxmlformats.org/officeDocument/2006/relationships/printerSettings" Target="../printerSettings/printerSettings1.bin"/><Relationship Id="rId5" Type="http://schemas.openxmlformats.org/officeDocument/2006/relationships/hyperlink" Target="https://wiki.gccollab.ca/File:RCCV4_Beta.xlsx"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8.bin"/><Relationship Id="rId1" Type="http://schemas.openxmlformats.org/officeDocument/2006/relationships/hyperlink" Target="https://www150.statcan.gc.ca/t1/tbl1/en/tv.action?pid=1410034001" TargetMode="External"/><Relationship Id="rId4" Type="http://schemas.openxmlformats.org/officeDocument/2006/relationships/table" Target="../tables/table4.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9.bin"/><Relationship Id="rId1" Type="http://schemas.openxmlformats.org/officeDocument/2006/relationships/hyperlink" Target="https://www150.statcan.gc.ca/t1/tbl1/en/tv.action?pid=1810000501" TargetMode="External"/><Relationship Id="rId4" Type="http://schemas.openxmlformats.org/officeDocument/2006/relationships/table" Target="../tables/table5.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48049-AAA1-4594-9F4B-01B94437C861}">
  <sheetPr>
    <tabColor rgb="FFFFFFFF"/>
    <pageSetUpPr autoPageBreaks="0"/>
  </sheetPr>
  <dimension ref="C1:O55"/>
  <sheetViews>
    <sheetView showGridLines="0" tabSelected="1" zoomScale="85" zoomScaleNormal="85" workbookViewId="0">
      <selection activeCell="D16" sqref="D16"/>
    </sheetView>
  </sheetViews>
  <sheetFormatPr defaultColWidth="9.109375" defaultRowHeight="13.2" x14ac:dyDescent="0.25"/>
  <cols>
    <col min="1" max="2" width="6.109375" style="83" customWidth="1"/>
    <col min="3" max="3" width="36.6640625" style="83" customWidth="1"/>
    <col min="4" max="4" width="12" style="83" customWidth="1"/>
    <col min="5" max="5" width="11.44140625" style="88" customWidth="1"/>
    <col min="6" max="6" width="10" style="89" customWidth="1"/>
    <col min="7" max="14" width="9.109375" style="83"/>
    <col min="15" max="16" width="9.109375" style="83" customWidth="1"/>
    <col min="17" max="16384" width="9.109375" style="83"/>
  </cols>
  <sheetData>
    <row r="1" spans="3:6" ht="12.75" customHeight="1" x14ac:dyDescent="0.25">
      <c r="E1" s="83"/>
      <c r="F1" s="83"/>
    </row>
    <row r="2" spans="3:6" ht="12.75" customHeight="1" x14ac:dyDescent="0.25">
      <c r="E2" s="83"/>
      <c r="F2" s="83"/>
    </row>
    <row r="3" spans="3:6" ht="12.75" customHeight="1" x14ac:dyDescent="0.25">
      <c r="E3" s="83"/>
      <c r="F3" s="83"/>
    </row>
    <row r="4" spans="3:6" ht="12.75" customHeight="1" x14ac:dyDescent="0.25">
      <c r="E4" s="83"/>
      <c r="F4" s="83"/>
    </row>
    <row r="5" spans="3:6" ht="12.75" customHeight="1" x14ac:dyDescent="0.25">
      <c r="E5" s="83"/>
      <c r="F5" s="83"/>
    </row>
    <row r="6" spans="3:6" ht="12.75" customHeight="1" x14ac:dyDescent="0.25">
      <c r="E6" s="83"/>
      <c r="F6" s="83"/>
    </row>
    <row r="7" spans="3:6" ht="12.75" customHeight="1" x14ac:dyDescent="0.25">
      <c r="E7" s="83"/>
      <c r="F7" s="83"/>
    </row>
    <row r="8" spans="3:6" ht="12.75" customHeight="1" x14ac:dyDescent="0.25">
      <c r="E8" s="83"/>
      <c r="F8" s="83"/>
    </row>
    <row r="9" spans="3:6" ht="12.75" customHeight="1" x14ac:dyDescent="0.25">
      <c r="E9" s="83"/>
      <c r="F9" s="83"/>
    </row>
    <row r="10" spans="3:6" ht="12.75" customHeight="1" x14ac:dyDescent="0.25">
      <c r="E10" s="83"/>
      <c r="F10" s="83"/>
    </row>
    <row r="11" spans="3:6" ht="12.75" customHeight="1" x14ac:dyDescent="0.25">
      <c r="E11" s="83"/>
      <c r="F11" s="83"/>
    </row>
    <row r="12" spans="3:6" ht="12.75" customHeight="1" x14ac:dyDescent="0.25">
      <c r="E12" s="83"/>
      <c r="F12" s="83"/>
    </row>
    <row r="13" spans="3:6" ht="12.75" customHeight="1" x14ac:dyDescent="0.25">
      <c r="E13" s="83"/>
      <c r="F13" s="83"/>
    </row>
    <row r="14" spans="3:6" x14ac:dyDescent="0.25">
      <c r="E14" s="83"/>
    </row>
    <row r="15" spans="3:6" x14ac:dyDescent="0.25">
      <c r="E15" s="83"/>
    </row>
    <row r="16" spans="3:6" x14ac:dyDescent="0.25">
      <c r="C16" s="101" t="s">
        <v>63</v>
      </c>
      <c r="D16" s="86">
        <v>4.09</v>
      </c>
      <c r="E16" s="83"/>
      <c r="F16" s="88"/>
    </row>
    <row r="17" spans="3:8" x14ac:dyDescent="0.25">
      <c r="C17" s="101"/>
      <c r="D17" s="86"/>
      <c r="E17" s="83"/>
      <c r="F17" s="88"/>
    </row>
    <row r="18" spans="3:8" x14ac:dyDescent="0.25">
      <c r="C18" s="101" t="s">
        <v>64</v>
      </c>
      <c r="D18" s="104">
        <v>45660</v>
      </c>
      <c r="E18" s="83"/>
      <c r="F18" s="83"/>
    </row>
    <row r="19" spans="3:8" x14ac:dyDescent="0.25">
      <c r="C19" s="101"/>
      <c r="D19" s="104"/>
      <c r="E19" s="83"/>
      <c r="F19" s="83"/>
    </row>
    <row r="20" spans="3:8" x14ac:dyDescent="0.25">
      <c r="C20" s="101" t="s">
        <v>65</v>
      </c>
      <c r="D20" s="120" t="s">
        <v>66</v>
      </c>
      <c r="E20" s="83"/>
      <c r="F20" s="83"/>
    </row>
    <row r="21" spans="3:8" x14ac:dyDescent="0.25">
      <c r="C21" s="101"/>
      <c r="D21" s="120"/>
      <c r="E21" s="83"/>
      <c r="F21" s="83"/>
    </row>
    <row r="22" spans="3:8" ht="13.8" thickBot="1" x14ac:dyDescent="0.3">
      <c r="C22" s="101"/>
      <c r="D22" s="104"/>
      <c r="E22" s="83"/>
      <c r="F22" s="83"/>
    </row>
    <row r="23" spans="3:8" ht="27.6" thickTop="1" thickBot="1" x14ac:dyDescent="0.3">
      <c r="C23" s="107" t="s">
        <v>67</v>
      </c>
      <c r="D23" s="86" t="str" cm="1">
        <f t="array" ref="D23">IF(ISBLANK(Table_0__2[Right-click and Refresh this box to check for a new version]), " Refresh the box to the left.",
IF(NOT(versiondate=Table_0__2[Right-click and Refresh this box to check for a new version]), " A new version is available. Go get it now!",
" This is the current version, based on the last time the box was refreshed."))</f>
        <v xml:space="preserve"> This is the current version, based on the last time the box was refreshed.</v>
      </c>
      <c r="E23" s="83"/>
      <c r="F23" s="83"/>
    </row>
    <row r="24" spans="3:8" ht="15" thickTop="1" x14ac:dyDescent="0.3">
      <c r="C24" s="105">
        <v>45660</v>
      </c>
      <c r="D24" s="106"/>
      <c r="E24" s="83"/>
      <c r="F24" s="83"/>
    </row>
    <row r="25" spans="3:8" x14ac:dyDescent="0.25">
      <c r="C25" s="102"/>
      <c r="D25" s="90"/>
      <c r="E25" s="83"/>
      <c r="F25" s="83"/>
    </row>
    <row r="26" spans="3:8" x14ac:dyDescent="0.25">
      <c r="C26" s="101" t="s">
        <v>68</v>
      </c>
      <c r="D26" s="91" t="s">
        <v>69</v>
      </c>
      <c r="E26" s="83"/>
      <c r="F26" s="83"/>
    </row>
    <row r="27" spans="3:8" x14ac:dyDescent="0.25">
      <c r="C27" s="103"/>
      <c r="D27" s="89" t="s">
        <v>70</v>
      </c>
      <c r="E27" s="83"/>
      <c r="F27" s="88"/>
    </row>
    <row r="28" spans="3:8" x14ac:dyDescent="0.25">
      <c r="C28" s="103"/>
      <c r="D28" s="89" t="s">
        <v>71</v>
      </c>
      <c r="E28" s="83"/>
      <c r="F28" s="88"/>
    </row>
    <row r="29" spans="3:8" x14ac:dyDescent="0.25">
      <c r="C29" s="103"/>
      <c r="D29" s="89"/>
      <c r="E29" s="83"/>
      <c r="F29" s="88"/>
    </row>
    <row r="30" spans="3:8" x14ac:dyDescent="0.25">
      <c r="C30" s="101" t="s">
        <v>72</v>
      </c>
      <c r="D30" s="94" t="s">
        <v>73</v>
      </c>
      <c r="E30" s="83"/>
      <c r="F30" s="88"/>
    </row>
    <row r="31" spans="3:8" x14ac:dyDescent="0.25">
      <c r="C31" s="101"/>
      <c r="D31" s="93"/>
      <c r="E31" s="83"/>
      <c r="F31" s="88"/>
      <c r="H31" s="84"/>
    </row>
    <row r="32" spans="3:8" x14ac:dyDescent="0.25">
      <c r="C32" s="101" t="s">
        <v>74</v>
      </c>
      <c r="D32" s="94" t="s">
        <v>75</v>
      </c>
      <c r="E32" s="83"/>
      <c r="F32" s="88"/>
    </row>
    <row r="33" spans="3:15" x14ac:dyDescent="0.25">
      <c r="C33" s="103"/>
      <c r="D33" s="94" t="s">
        <v>76</v>
      </c>
      <c r="E33" s="83"/>
      <c r="F33" s="88"/>
    </row>
    <row r="34" spans="3:15" x14ac:dyDescent="0.25">
      <c r="C34" s="103"/>
      <c r="D34" s="92"/>
      <c r="E34" s="83"/>
      <c r="F34" s="88"/>
    </row>
    <row r="35" spans="3:15" x14ac:dyDescent="0.25">
      <c r="C35" s="101" t="s">
        <v>77</v>
      </c>
      <c r="D35" s="94" t="s">
        <v>78</v>
      </c>
      <c r="E35" s="83"/>
      <c r="F35" s="88"/>
    </row>
    <row r="36" spans="3:15" x14ac:dyDescent="0.25">
      <c r="C36" s="101"/>
      <c r="D36" s="94"/>
      <c r="E36" s="83"/>
      <c r="F36" s="88"/>
    </row>
    <row r="37" spans="3:15" x14ac:dyDescent="0.25">
      <c r="C37" s="103"/>
      <c r="D37" s="89"/>
      <c r="E37" s="83"/>
      <c r="F37" s="88"/>
    </row>
    <row r="38" spans="3:15" x14ac:dyDescent="0.25">
      <c r="C38" s="101" t="s">
        <v>79</v>
      </c>
      <c r="D38" s="95"/>
      <c r="E38" s="89" t="s">
        <v>80</v>
      </c>
      <c r="F38" s="88"/>
    </row>
    <row r="39" spans="3:15" x14ac:dyDescent="0.25">
      <c r="C39" s="103"/>
      <c r="D39" s="88"/>
      <c r="E39" s="89"/>
      <c r="F39" s="88"/>
    </row>
    <row r="40" spans="3:15" x14ac:dyDescent="0.25">
      <c r="C40" s="103"/>
      <c r="D40" s="96"/>
      <c r="E40" s="89" t="s">
        <v>81</v>
      </c>
      <c r="F40" s="88"/>
    </row>
    <row r="41" spans="3:15" x14ac:dyDescent="0.25">
      <c r="C41" s="103"/>
      <c r="D41" s="88"/>
      <c r="E41" s="89"/>
      <c r="F41" s="88"/>
    </row>
    <row r="42" spans="3:15" x14ac:dyDescent="0.25">
      <c r="C42" s="103"/>
      <c r="D42" s="97"/>
      <c r="E42" s="85" t="s">
        <v>82</v>
      </c>
      <c r="F42" s="88"/>
    </row>
    <row r="43" spans="3:15" x14ac:dyDescent="0.25">
      <c r="C43" s="103"/>
      <c r="D43" s="88"/>
      <c r="E43" s="89"/>
      <c r="F43" s="88"/>
    </row>
    <row r="44" spans="3:15" ht="14.4" x14ac:dyDescent="0.3">
      <c r="C44" s="103"/>
      <c r="D44" s="98"/>
      <c r="E44" s="91" t="s">
        <v>83</v>
      </c>
      <c r="F44" s="88"/>
      <c r="O44"/>
    </row>
    <row r="45" spans="3:15" x14ac:dyDescent="0.25">
      <c r="C45" s="103"/>
      <c r="D45" s="88"/>
      <c r="E45" s="89"/>
      <c r="F45" s="88"/>
    </row>
    <row r="46" spans="3:15" x14ac:dyDescent="0.25">
      <c r="C46" s="103"/>
      <c r="D46" s="99"/>
      <c r="E46" s="85" t="s">
        <v>84</v>
      </c>
      <c r="F46" s="88"/>
    </row>
    <row r="47" spans="3:15" x14ac:dyDescent="0.25">
      <c r="C47" s="103"/>
      <c r="D47" s="88"/>
      <c r="E47" s="85"/>
      <c r="F47" s="88"/>
    </row>
    <row r="48" spans="3:15" x14ac:dyDescent="0.25">
      <c r="C48" s="103"/>
      <c r="D48" s="89"/>
      <c r="E48" s="83"/>
      <c r="F48" s="88"/>
    </row>
    <row r="49" spans="3:6" x14ac:dyDescent="0.25">
      <c r="C49" s="100" t="s">
        <v>85</v>
      </c>
      <c r="D49" s="87" t="s">
        <v>315</v>
      </c>
      <c r="E49" s="89"/>
      <c r="F49" s="88"/>
    </row>
    <row r="50" spans="3:6" x14ac:dyDescent="0.25">
      <c r="C50" s="103"/>
      <c r="D50" s="87" t="s">
        <v>314</v>
      </c>
      <c r="E50" s="89"/>
      <c r="F50" s="88"/>
    </row>
    <row r="51" spans="3:6" x14ac:dyDescent="0.25">
      <c r="C51" s="82"/>
      <c r="D51" s="87" t="s">
        <v>86</v>
      </c>
      <c r="E51" s="89"/>
      <c r="F51" s="88"/>
    </row>
    <row r="52" spans="3:6" x14ac:dyDescent="0.25">
      <c r="C52" s="82"/>
      <c r="D52" s="87" t="s">
        <v>87</v>
      </c>
      <c r="E52" s="89"/>
      <c r="F52" s="88"/>
    </row>
    <row r="53" spans="3:6" x14ac:dyDescent="0.25">
      <c r="C53" s="82"/>
      <c r="D53" s="87" t="s">
        <v>88</v>
      </c>
      <c r="E53" s="89"/>
      <c r="F53" s="88"/>
    </row>
    <row r="55" spans="3:6" x14ac:dyDescent="0.25">
      <c r="E55" s="83"/>
      <c r="F55" s="83"/>
    </row>
  </sheetData>
  <sheetProtection pivotTables="0"/>
  <hyperlinks>
    <hyperlink ref="D30" r:id="rId1" xr:uid="{52FC9264-90E4-4BAC-9996-0F4AD859AFE2}"/>
    <hyperlink ref="D35" r:id="rId2" xr:uid="{7412DF69-C1B8-4138-950B-4C2ABD1CCC86}"/>
    <hyperlink ref="D32" r:id="rId3" xr:uid="{7D531201-4ED6-44D6-B776-A4D5F2AFA559}"/>
    <hyperlink ref="D33" r:id="rId4" xr:uid="{D2A31609-8C6F-42E2-B3F9-7A8EB4B12E9E}"/>
    <hyperlink ref="D20" r:id="rId5" xr:uid="{FD78A6EA-B9DA-4D98-9776-577FF0113A42}"/>
  </hyperlinks>
  <pageMargins left="0.7" right="0.7" top="0.75" bottom="0.75" header="0.3" footer="0.3"/>
  <pageSetup orientation="portrait" r:id="rId6"/>
  <drawing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5"/>
  <sheetViews>
    <sheetView showGridLines="0" zoomScale="115" zoomScaleNormal="115" workbookViewId="0">
      <selection activeCell="D4" sqref="D4"/>
    </sheetView>
  </sheetViews>
  <sheetFormatPr defaultColWidth="8.6640625" defaultRowHeight="14.4" x14ac:dyDescent="0.3"/>
  <cols>
    <col min="1" max="1" width="3" customWidth="1"/>
    <col min="2" max="2" width="3.44140625" customWidth="1"/>
    <col min="3" max="3" width="50.88671875" customWidth="1"/>
    <col min="4" max="4" width="48.6640625" customWidth="1"/>
  </cols>
  <sheetData>
    <row r="2" spans="3:4" ht="15.6" x14ac:dyDescent="0.3">
      <c r="C2" s="8" t="s">
        <v>89</v>
      </c>
    </row>
    <row r="4" spans="3:4" ht="31.5" customHeight="1" x14ac:dyDescent="0.3">
      <c r="C4" s="20" t="s">
        <v>90</v>
      </c>
      <c r="D4" s="17"/>
    </row>
    <row r="5" spans="3:4" ht="30.75" customHeight="1" x14ac:dyDescent="0.3">
      <c r="C5" s="20" t="s">
        <v>91</v>
      </c>
      <c r="D5" s="17" t="s">
        <v>92</v>
      </c>
    </row>
    <row r="6" spans="3:4" ht="31.5" customHeight="1" x14ac:dyDescent="0.3">
      <c r="C6" s="20" t="s">
        <v>93</v>
      </c>
      <c r="D6" s="17"/>
    </row>
    <row r="7" spans="3:4" ht="42" customHeight="1" x14ac:dyDescent="0.3">
      <c r="C7" s="21" t="s">
        <v>94</v>
      </c>
      <c r="D7" s="18"/>
    </row>
    <row r="8" spans="3:4" x14ac:dyDescent="0.3">
      <c r="C8" s="21" t="s">
        <v>95</v>
      </c>
      <c r="D8" s="31">
        <v>0</v>
      </c>
    </row>
    <row r="9" spans="3:4" x14ac:dyDescent="0.3">
      <c r="C9" s="21" t="s">
        <v>96</v>
      </c>
      <c r="D9" s="31" cm="1">
        <f t="array" ref="D9">Introduced_Formula</f>
        <v>0</v>
      </c>
    </row>
    <row r="10" spans="3:4" x14ac:dyDescent="0.3">
      <c r="C10" s="21" t="s">
        <v>97</v>
      </c>
      <c r="D10" s="17">
        <v>2024</v>
      </c>
    </row>
    <row r="11" spans="3:4" x14ac:dyDescent="0.3">
      <c r="C11" s="21" t="s">
        <v>98</v>
      </c>
      <c r="D11" s="17">
        <v>2025</v>
      </c>
    </row>
    <row r="12" spans="3:4" x14ac:dyDescent="0.3">
      <c r="C12" s="21" t="s">
        <v>99</v>
      </c>
      <c r="D12" s="17">
        <v>2025</v>
      </c>
    </row>
    <row r="13" spans="3:4" x14ac:dyDescent="0.3">
      <c r="C13" s="21" t="s">
        <v>100</v>
      </c>
      <c r="D13" s="17">
        <v>10</v>
      </c>
    </row>
    <row r="14" spans="3:4" x14ac:dyDescent="0.3">
      <c r="C14" s="21" t="s">
        <v>101</v>
      </c>
      <c r="D14" s="19">
        <v>7.0000000000000007E-2</v>
      </c>
    </row>
    <row r="15" spans="3:4" x14ac:dyDescent="0.3">
      <c r="D15" s="129" t="s">
        <v>285</v>
      </c>
    </row>
  </sheetData>
  <protectedRanges>
    <protectedRange password="CC6C" sqref="D5:D6" name="Range1_5"/>
    <protectedRange password="CC6C" sqref="D4" name="Range1_1_1_1"/>
    <protectedRange password="CC6C" sqref="D7" name="Range1_4_1_1"/>
  </protectedRanges>
  <phoneticPr fontId="2" type="noConversion"/>
  <conditionalFormatting sqref="D8">
    <cfRule type="expression" dxfId="54" priority="1">
      <formula>OR($D$5="Multiple Repeal and Replace (One New title)", $D$5="Repeal and Replace", $D$5="Repeal Only")</formula>
    </cfRule>
  </conditionalFormatting>
  <dataValidations xWindow="1240" yWindow="915" count="1">
    <dataValidation type="whole" allowBlank="1" showInputMessage="1" showErrorMessage="1" prompt="If no regulations are being repealed, leave this blank." sqref="D9"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D11</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D12</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D13</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D14</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D10</xm:sqref>
        </x14:dataValidation>
        <x14:dataValidation type="list" allowBlank="1" showInputMessage="1" showErrorMessage="1" xr:uid="{E84C42EB-6E3A-47D6-82F2-0516BE5213EC}">
          <x14:formula1>
            <xm:f>Controls!$P$22:$P$26</xm:f>
          </x14:formula1>
          <xm:sqref>D5</xm:sqref>
        </x14:dataValidation>
        <x14:dataValidation type="list" showInputMessage="1" showErrorMessage="1" xr:uid="{503CBD6B-F650-450F-B1E0-C02162334656}">
          <x14:formula1>
            <xm:f>IF(D5=Controls!P21,List_Amendment_Repeal,IF(D5=Controls!P22,List_New_Regulation_Repeal,IF(D5=Controls!P23,List_Repeal_Only,(IF(D5=Controls!P24,List_Repeal_and_Replace_Repeal,TenCount)))))</xm:f>
          </x14:formula1>
          <xm:sqref>D8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Y12"/>
  <sheetViews>
    <sheetView showGridLines="0" zoomScaleNormal="100" zoomScaleSheetLayoutView="50" workbookViewId="0">
      <selection activeCell="B10" sqref="B10"/>
    </sheetView>
  </sheetViews>
  <sheetFormatPr defaultColWidth="9.109375" defaultRowHeight="25.2" customHeight="1" x14ac:dyDescent="0.3"/>
  <cols>
    <col min="1" max="1" width="10.6640625" style="252" customWidth="1"/>
    <col min="2" max="2" width="38.44140625" style="256" customWidth="1"/>
    <col min="3" max="3" width="12.6640625" style="254" customWidth="1"/>
    <col min="4" max="4" width="14.6640625" style="254" customWidth="1"/>
    <col min="5" max="5" width="19.44140625" style="254" customWidth="1"/>
    <col min="6" max="6" width="15.33203125" style="264" customWidth="1"/>
    <col min="7" max="7" width="16.44140625" style="264" customWidth="1"/>
    <col min="8" max="8" width="14.33203125" style="255" customWidth="1"/>
    <col min="9" max="9" width="16" style="255" customWidth="1"/>
    <col min="10" max="10" width="19.33203125" style="255" customWidth="1"/>
    <col min="11" max="11" width="21.6640625" style="254" customWidth="1"/>
    <col min="12" max="12" width="34.88671875" style="256" customWidth="1"/>
    <col min="13" max="13" width="22.33203125" style="254" customWidth="1"/>
    <col min="14" max="14" width="26.44140625" style="254" customWidth="1"/>
    <col min="15" max="92" width="12.44140625" style="256" customWidth="1"/>
    <col min="93" max="16384" width="9.109375" style="256"/>
  </cols>
  <sheetData>
    <row r="2" spans="1:25" ht="25.2" customHeight="1" x14ac:dyDescent="0.3">
      <c r="B2" s="253" t="s">
        <v>30</v>
      </c>
      <c r="M2" s="257" t="s">
        <v>60</v>
      </c>
    </row>
    <row r="3" spans="1:25" ht="25.2" customHeight="1" x14ac:dyDescent="0.3">
      <c r="B3" s="253"/>
      <c r="M3" s="257"/>
    </row>
    <row r="4" spans="1:25" ht="25.2" customHeight="1" x14ac:dyDescent="0.3">
      <c r="B4" s="258"/>
      <c r="O4" s="256">
        <v>0</v>
      </c>
      <c r="P4" s="256" cm="1">
        <f t="array" ref="P4:Y4">_xlfn.SEQUENCE(,Time)</f>
        <v>1</v>
      </c>
      <c r="Q4" s="256">
        <v>2</v>
      </c>
      <c r="R4" s="256">
        <v>3</v>
      </c>
      <c r="S4" s="256">
        <v>4</v>
      </c>
      <c r="T4" s="256">
        <v>5</v>
      </c>
      <c r="U4" s="256">
        <v>6</v>
      </c>
      <c r="V4" s="256">
        <v>7</v>
      </c>
      <c r="W4" s="256">
        <v>8</v>
      </c>
      <c r="X4" s="256">
        <v>9</v>
      </c>
      <c r="Y4" s="256">
        <v>10</v>
      </c>
    </row>
    <row r="5" spans="1:25" s="261" customFormat="1" ht="25.2" customHeight="1" x14ac:dyDescent="0.3">
      <c r="A5" s="259"/>
      <c r="B5" s="260"/>
      <c r="F5" s="265"/>
      <c r="G5" s="265"/>
      <c r="H5" s="262"/>
      <c r="I5" s="262"/>
      <c r="J5" s="262"/>
      <c r="M5" s="263" t="s">
        <v>61</v>
      </c>
      <c r="N5" s="263" t="s">
        <v>62</v>
      </c>
      <c r="O5" s="263" cm="1">
        <f t="array" ref="O5:Y5">_xlfn.HSTACK(YearOfRegistration, _xlfn.SEQUENCE(, Time, YearOfRegistration))</f>
        <v>2025</v>
      </c>
      <c r="P5" s="263">
        <v>2025</v>
      </c>
      <c r="Q5" s="263">
        <v>2026</v>
      </c>
      <c r="R5" s="263">
        <v>2027</v>
      </c>
      <c r="S5" s="263">
        <v>2028</v>
      </c>
      <c r="T5" s="263">
        <v>2029</v>
      </c>
      <c r="U5" s="263">
        <v>2030</v>
      </c>
      <c r="V5" s="263">
        <v>2031</v>
      </c>
      <c r="W5" s="263">
        <v>2032</v>
      </c>
      <c r="X5" s="263">
        <v>2033</v>
      </c>
      <c r="Y5" s="263">
        <v>2034</v>
      </c>
    </row>
    <row r="6" spans="1:25" ht="25.2" customHeight="1" x14ac:dyDescent="0.3">
      <c r="B6" s="279" t="str">
        <f>_xlfn.LET(_xlpm.x, "Note: enter the stakeholder information as of the start of the analytical period (i.e., at the date of registration).", IF(ROWS(tbl_Stakeholders[Stakeholder Group])=COUNTBLANK(tbl_Stakeholders[Stakeholder Group]), _xlpm.x, IF(ROWS(_xlfn.UNIQUE(tbl_Stakeholders[Stakeholder Group]))&lt;ROWS(tbl_Stakeholders[Stakeholder Group]), "Use unique names for stakeholder groups.", _xlpm.x)))</f>
        <v>Note: enter the stakeholder information as of the start of the analytical period (i.e., at the date of registration).</v>
      </c>
      <c r="M6" s="254" t="str" cm="1">
        <f t="array" ref="M6:M8">IFERROR(_xlfn.LET(_xlpm.w, _xlfn.TOCOL(IF(_xlfn.SEQUENCE(1, IF(SUM(tbl_Stakeholders[Non-business Count])=0, 3, 5)), _xlfn._xlws.FILTER(tbl_Stakeholders[Stakeholder Group], ISBLANK(tbl_Stakeholders[Stakeholder Group])=FALSE)),,1), _xlfn.SORTBY(_xlpm.w, _xlfn.MAP(_xlpm.w, _xlfn.LAMBDA(_xlpm.x, MATCH(_xlpm.x, tbl_Stakeholders[Stakeholder Group], 0))))), "")</f>
        <v/>
      </c>
      <c r="N6" s="254" t="str" cm="1">
        <f t="array" ref="N6">IFERROR(_xlfn.TOCOL( IF(_xlfn.SEQUENCE(COUNTA(tbl_Stakeholders[Stakeholder Group]), 1), IF(SUM(tbl_Stakeholders[Non-business Count])&gt;0, tbl_Stakeholders[[#Headers],[Non-business Count]:[Total Stakeholder Count]], tbl_Stakeholders[[#Headers],[Small Business Count]:[Total Business Count]])), ,FALSE ), "")</f>
        <v/>
      </c>
      <c r="O6" s="256" t="str" cm="1">
        <f t="array" ref="O6:O8">IFERROR(INDEX(tbl_Stakeholders[[Non-business Count]:[Total Stakeholder Count]], MATCH(_xlfn.ANCHORARRAY(M6), tbl_Stakeholders[Stakeholder Group], 0), MATCH(_xlfn.ANCHORARRAY(N6), tbl_Stakeholders[[#Headers],[Non-business Count]:[Total Stakeholder Count]], 0)), "")</f>
        <v/>
      </c>
      <c r="P6" s="256" t="str" cm="1">
        <f t="array" ref="P6">IF(COUNTA(tbl_Stakeholders[Stakeholder Group])=0, "", _xlfn.MAKEARRAY(ROWS(_xlfn._xlws.FILTER(tbl_Stakeholders[], tbl_Stakeholders[Stakeholder Group]&lt;&gt;""))*IF(SUM(tbl_Stakeholders[Non-business Count])&gt;0, 5, 3), Time, _xlfn.LAMBDA(_xlpm.r,_xlpm.c,
IFERROR(_xlfn.LET(
_xlpm.ThisGroup, MATCH(INDEX(_xlfn.ANCHORARRAY($M$6), _xlpm.r), tbl_Stakeholders[Stakeholder Group], 0),
_xlpm.x, INDEX(tbl_Stakeholders[Non-business Count], _xlpm.ThisGroup)*(1+INDEX(tbl_Stakeholders[Non-business Growth Rate], _xlpm.ThisGroup))^INDEX(_xlfn.ANCHORARRAY($P$4),, _xlpm.c),
_xlpm.y, INDEX(tbl_Stakeholders[Small Business Count], _xlpm.ThisGroup)*(1+INDEX(tbl_Stakeholders[Small Business Growth Rate], _xlpm.ThisGroup))^INDEX(_xlfn.ANCHORARRAY($P$4),,_xlpm.c),
_xlpm.z, INDEX(tbl_Stakeholders[Med/Large Business Count], _xlpm.ThisGroup)*(1+INDEX(tbl_Stakeholders[Med/Large Business Growth Rate], _xlpm.ThisGroup))^INDEX(_xlfn.ANCHORARRAY($P$4),,_xlpm.c),
IF(INDEX(_xlfn.ANCHORARRAY($N$6), _xlpm.r)="Non-business Count", _xlpm.x,
IF(INDEX(_xlfn.ANCHORARRAY($N$6), _xlpm.r)="Small Business Count", _xlpm.y,
IF(INDEX(_xlfn.ANCHORARRAY($N$6), _xlpm.r)="Med/Large Business Count", _xlpm.z,
IF(INDEX(_xlfn.ANCHORARRAY($N$6), _xlpm.r)="Total Business Count", _xlpm.y+_xlpm.z,
IF(INDEX(_xlfn.ANCHORARRAY($N$6), _xlpm.r)="Total Stakeholder Count", _xlpm.x+_xlpm.y+_xlpm.z)))))), ""))))</f>
        <v/>
      </c>
    </row>
    <row r="7" spans="1:25" ht="25.2" customHeight="1" x14ac:dyDescent="0.3">
      <c r="M7" s="254" t="str">
        <v/>
      </c>
      <c r="O7" s="256" t="str">
        <v/>
      </c>
    </row>
    <row r="8" spans="1:25" ht="25.2" customHeight="1" x14ac:dyDescent="0.3">
      <c r="M8" s="254" t="str">
        <v/>
      </c>
      <c r="O8" s="256" t="str">
        <v/>
      </c>
    </row>
    <row r="9" spans="1:25" ht="25.2" customHeight="1" x14ac:dyDescent="0.3">
      <c r="A9" s="252" t="str" cm="1">
        <f t="array" ref="A9:A12">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9" s="276" t="s">
        <v>31</v>
      </c>
      <c r="C9" s="276" t="s">
        <v>32</v>
      </c>
      <c r="D9" s="276" t="s">
        <v>33</v>
      </c>
      <c r="E9" s="276" t="s">
        <v>34</v>
      </c>
      <c r="F9" s="277" t="s">
        <v>35</v>
      </c>
      <c r="G9" s="277" t="s">
        <v>36</v>
      </c>
      <c r="H9" s="278" t="s">
        <v>37</v>
      </c>
      <c r="I9" s="278" t="s">
        <v>38</v>
      </c>
      <c r="J9" s="278" t="s">
        <v>39</v>
      </c>
      <c r="K9" s="276" t="s">
        <v>40</v>
      </c>
    </row>
    <row r="10" spans="1:25" ht="25.2" customHeight="1" x14ac:dyDescent="0.3">
      <c r="A10" s="252" t="str">
        <v>Type Here ⮚</v>
      </c>
      <c r="B10" s="273"/>
      <c r="C10" s="211"/>
      <c r="D10" s="211"/>
      <c r="E10" s="211"/>
      <c r="F10" s="274">
        <f>tbl_Stakeholders[[#This Row],[Small Business Count]]+tbl_Stakeholders[[#This Row],[Med/Large Business Count]]</f>
        <v>0</v>
      </c>
      <c r="G10" s="274">
        <f>tbl_Stakeholders[[#This Row],[Total Business Count]]+tbl_Stakeholders[[#This Row],[Non-business Count]]</f>
        <v>0</v>
      </c>
      <c r="H10" s="275"/>
      <c r="I10" s="275"/>
      <c r="J10" s="275">
        <v>0.01</v>
      </c>
      <c r="K10" s="211"/>
    </row>
    <row r="11" spans="1:25" ht="25.2" customHeight="1" x14ac:dyDescent="0.3">
      <c r="A11" s="252" t="str">
        <v/>
      </c>
      <c r="B11" s="243"/>
      <c r="C11" s="243"/>
      <c r="D11" s="243"/>
      <c r="E11" s="243"/>
      <c r="F11" s="266">
        <f>tbl_Stakeholders[[#This Row],[Small Business Count]]+tbl_Stakeholders[[#This Row],[Med/Large Business Count]]</f>
        <v>0</v>
      </c>
      <c r="G11" s="266">
        <f>tbl_Stakeholders[[#This Row],[Total Business Count]]+tbl_Stakeholders[[#This Row],[Non-business Count]]</f>
        <v>0</v>
      </c>
      <c r="H11" s="244"/>
      <c r="I11" s="244"/>
      <c r="J11" s="244"/>
      <c r="K11" s="243"/>
    </row>
    <row r="12" spans="1:25" ht="25.2" customHeight="1" x14ac:dyDescent="0.3">
      <c r="A12" s="252" t="str">
        <v/>
      </c>
    </row>
  </sheetData>
  <sheetProtection insertColumns="0" insertRows="0" deleteColumns="0" deleteRows="0"/>
  <conditionalFormatting sqref="B6">
    <cfRule type="expression" dxfId="53" priority="1">
      <formula>LEFT($B$6, 3)="Use"</formula>
    </cfRule>
  </conditionalFormatting>
  <conditionalFormatting sqref="M5:CZ5">
    <cfRule type="notContainsBlanks" dxfId="52" priority="3">
      <formula>LEN(TRIM(M5))&gt;0</formula>
    </cfRule>
  </conditionalFormatting>
  <conditionalFormatting sqref="M6:CZ401">
    <cfRule type="notContainsBlanks" dxfId="51" priority="5">
      <formula>LEN(TRIM(M6))&gt;0</formula>
    </cfRule>
  </conditionalFormatting>
  <dataValidations xWindow="414" yWindow="672" count="2">
    <dataValidation type="decimal" allowBlank="1" showInputMessage="1" showErrorMessage="1" sqref="H10:H11" xr:uid="{A749AC37-1B48-4834-A9A9-F81DB5477A35}">
      <formula1>-0.99</formula1>
      <formula2>1</formula2>
    </dataValidation>
    <dataValidation allowBlank="1" showInputMessage="1" showErrorMessage="1" prompt="Use a unique name for each stakeholder group." sqref="B10:B11" xr:uid="{6233D5C4-5470-4681-8509-4FBF6E136311}"/>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1:V15"/>
  <sheetViews>
    <sheetView showGridLines="0" zoomScale="90" zoomScaleNormal="90" zoomScaleSheetLayoutView="50" workbookViewId="0">
      <selection activeCell="B13" sqref="B13"/>
    </sheetView>
  </sheetViews>
  <sheetFormatPr defaultColWidth="9.109375" defaultRowHeight="33.75" customHeight="1" outlineLevelCol="1" x14ac:dyDescent="0.2"/>
  <cols>
    <col min="1" max="1" width="11.44140625" style="110" customWidth="1" outlineLevel="1"/>
    <col min="2" max="2" width="30" style="112" customWidth="1"/>
    <col min="3" max="3" width="15.5546875" style="112" customWidth="1"/>
    <col min="4" max="4" width="10.6640625" style="112" customWidth="1"/>
    <col min="5" max="5" width="10.44140625" style="112" customWidth="1"/>
    <col min="6" max="6" width="16.44140625" style="112" customWidth="1"/>
    <col min="7" max="7" width="15" style="112" customWidth="1"/>
    <col min="8" max="8" width="13.109375" style="112" customWidth="1"/>
    <col min="9" max="9" width="13.5546875" style="112" customWidth="1"/>
    <col min="10" max="10" width="10.6640625" style="249" customWidth="1"/>
    <col min="11" max="11" width="14.5546875" style="112" customWidth="1"/>
    <col min="12" max="12" width="10.109375" style="112" customWidth="1"/>
    <col min="13" max="13" width="11.109375" style="112" customWidth="1"/>
    <col min="14" max="14" width="9.33203125" style="112" customWidth="1" outlineLevel="1"/>
    <col min="15" max="15" width="10" style="112" customWidth="1" outlineLevel="1"/>
    <col min="16" max="16" width="10.5546875" style="112" customWidth="1" outlineLevel="1"/>
    <col min="17" max="17" width="12.44140625" style="245" customWidth="1"/>
    <col min="18" max="18" width="16.109375" style="245" customWidth="1"/>
    <col min="19" max="19" width="14.109375" style="112" customWidth="1"/>
    <col min="20" max="20" width="30.88671875" style="238" customWidth="1"/>
    <col min="21" max="21" width="65.109375" style="25" customWidth="1" outlineLevel="1"/>
    <col min="22" max="22" width="24.6640625" style="112" customWidth="1" outlineLevel="1"/>
    <col min="23" max="16384" width="9.109375" style="112"/>
  </cols>
  <sheetData>
    <row r="1" spans="1:22" ht="15.75" customHeight="1" x14ac:dyDescent="0.2"/>
    <row r="2" spans="1:22" ht="15.75" customHeight="1" x14ac:dyDescent="0.3">
      <c r="B2" s="111" t="s">
        <v>41</v>
      </c>
      <c r="N2" s="113"/>
    </row>
    <row r="3" spans="1:22" ht="15.75" customHeight="1" x14ac:dyDescent="0.25">
      <c r="B3" s="114"/>
      <c r="N3" s="113"/>
    </row>
    <row r="4" spans="1:22" ht="15.75" customHeight="1" x14ac:dyDescent="0.25">
      <c r="B4" s="114"/>
      <c r="H4" s="127"/>
      <c r="I4" s="127"/>
      <c r="J4" s="250"/>
      <c r="K4" s="127"/>
      <c r="L4" s="127"/>
      <c r="M4" s="127"/>
      <c r="N4" s="127"/>
      <c r="O4" s="127"/>
      <c r="P4" s="127"/>
      <c r="Q4" s="246"/>
      <c r="R4" s="246"/>
      <c r="S4" s="127"/>
      <c r="T4" s="239"/>
      <c r="U4" s="127"/>
    </row>
    <row r="5" spans="1:22" ht="15.75" customHeight="1" x14ac:dyDescent="0.2">
      <c r="H5" s="127"/>
      <c r="I5" s="127"/>
      <c r="J5" s="250"/>
      <c r="K5" s="127"/>
      <c r="L5" s="127"/>
      <c r="M5" s="127"/>
      <c r="N5" s="127"/>
      <c r="O5" s="127"/>
      <c r="P5" s="127"/>
      <c r="Q5" s="246"/>
      <c r="R5" s="246"/>
      <c r="S5" s="127"/>
      <c r="T5" s="239"/>
      <c r="U5" s="127"/>
    </row>
    <row r="6" spans="1:22" ht="15.75" customHeight="1" x14ac:dyDescent="0.2">
      <c r="H6" s="127"/>
      <c r="I6" s="127"/>
      <c r="J6" s="250"/>
      <c r="K6" s="127"/>
      <c r="L6" s="127"/>
      <c r="M6" s="127"/>
      <c r="N6" s="127"/>
      <c r="O6" s="127"/>
      <c r="P6" s="127"/>
      <c r="Q6" s="246"/>
      <c r="R6" s="246"/>
      <c r="S6" s="127"/>
      <c r="T6" s="239"/>
      <c r="U6" s="127"/>
    </row>
    <row r="7" spans="1:22" ht="15.75" customHeight="1" x14ac:dyDescent="0.2">
      <c r="H7" s="127"/>
      <c r="I7" s="127"/>
      <c r="K7" s="127"/>
      <c r="L7" s="127"/>
      <c r="M7" s="127"/>
      <c r="N7" s="127"/>
      <c r="O7" s="127"/>
      <c r="P7" s="127"/>
      <c r="Q7" s="246"/>
      <c r="R7" s="246"/>
      <c r="S7" s="127"/>
      <c r="T7" s="239"/>
      <c r="U7" s="127"/>
    </row>
    <row r="8" spans="1:22" ht="15.75" customHeight="1" x14ac:dyDescent="0.2">
      <c r="H8" s="127"/>
      <c r="I8" s="127"/>
      <c r="J8" s="250"/>
      <c r="K8" s="127"/>
      <c r="L8" s="127"/>
      <c r="M8" s="127"/>
      <c r="N8" s="127"/>
      <c r="O8" s="127"/>
      <c r="P8" s="127"/>
      <c r="Q8" s="246"/>
      <c r="R8" s="246"/>
      <c r="S8" s="127"/>
      <c r="U8" s="127"/>
    </row>
    <row r="9" spans="1:22" ht="15.75" customHeight="1" x14ac:dyDescent="0.3">
      <c r="B9" s="141"/>
      <c r="N9" s="113"/>
      <c r="T9" s="240"/>
      <c r="U9"/>
    </row>
    <row r="10" spans="1:22" ht="15.75" customHeight="1" x14ac:dyDescent="0.2">
      <c r="N10" s="113"/>
      <c r="T10" s="240"/>
    </row>
    <row r="11" spans="1:22" ht="15.75" customHeight="1" x14ac:dyDescent="0.2">
      <c r="N11" s="113"/>
      <c r="T11" s="240"/>
    </row>
    <row r="12" spans="1:22" ht="36" x14ac:dyDescent="0.2">
      <c r="A12" s="115" t="str" cm="1">
        <f t="array" ref="A12:A15">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2" s="116" t="s">
        <v>42</v>
      </c>
      <c r="C12" s="117" t="s">
        <v>43</v>
      </c>
      <c r="D12" s="117" t="s">
        <v>300</v>
      </c>
      <c r="E12" s="117" t="s">
        <v>44</v>
      </c>
      <c r="F12" s="117" t="s">
        <v>45</v>
      </c>
      <c r="G12" s="117" t="s">
        <v>46</v>
      </c>
      <c r="H12" s="117" t="s">
        <v>47</v>
      </c>
      <c r="I12" s="117" t="s">
        <v>48</v>
      </c>
      <c r="J12" s="251" t="s">
        <v>8</v>
      </c>
      <c r="K12" s="117" t="s">
        <v>49</v>
      </c>
      <c r="L12" s="117" t="s">
        <v>50</v>
      </c>
      <c r="M12" s="117" t="s">
        <v>51</v>
      </c>
      <c r="N12" s="117" t="s">
        <v>52</v>
      </c>
      <c r="O12" s="117" t="s">
        <v>53</v>
      </c>
      <c r="P12" s="117" t="s">
        <v>54</v>
      </c>
      <c r="Q12" s="247" t="s">
        <v>55</v>
      </c>
      <c r="R12" s="247" t="s">
        <v>56</v>
      </c>
      <c r="S12" s="117" t="s">
        <v>57</v>
      </c>
      <c r="T12" s="241" t="s">
        <v>304</v>
      </c>
      <c r="U12" s="119" t="s">
        <v>58</v>
      </c>
      <c r="V12" s="118" t="s">
        <v>40</v>
      </c>
    </row>
    <row r="13" spans="1:22" ht="33.75" customHeight="1" x14ac:dyDescent="0.2">
      <c r="A13" s="110" t="str">
        <v>Type Here ⮚</v>
      </c>
      <c r="B13" s="73"/>
      <c r="C13" s="32"/>
      <c r="D13" s="32"/>
      <c r="E13" s="32"/>
      <c r="F13" s="121"/>
      <c r="G13" s="121"/>
      <c r="H13" s="32"/>
      <c r="I13" s="32"/>
      <c r="J13" s="126"/>
      <c r="K13" s="32"/>
      <c r="L13" s="32"/>
      <c r="M13" s="122"/>
      <c r="N13" s="123"/>
      <c r="O13" s="72"/>
      <c r="P13" s="123"/>
      <c r="Q13" s="124"/>
      <c r="R13" s="248"/>
      <c r="S13" s="122"/>
      <c r="T13" s="242"/>
      <c r="U13" s="150" t="str" cm="1">
        <f t="array" ref="U13">IF(CheckPartiallyBlank=1,"Some information is missing for this activity. ", "")
&amp;IF(CheckAppliesToNoone=1, IF(CheckTotallyBlank=1, "", "This activity does not apply to anyone. "), "")
&amp;IF(CheckNonBusiness=1,"All Non-Businesses were selected as the Affected Stakeholder Type, but there are no non-businesses for the Affected Stakeholder Group that has been selected. ","")
&amp;IF(CheckSmall=1,"Small businesses were selected as the Affected Stakeholder Type, but there are no small businesses for the Affected Stakeholder Group that has been selected. ","")
&amp;IF(CheckMedLarge=1,"Med/large businesses were selected as the Affected Stakeholder Type, but there are no med/large businesses for the Affected Stakeholder Group that has been selected. ","")
&amp;IF(CheckStakeholders=0,"This stakeholder cannot be found on the 'Stakeholder Profile' tab. Re-select a stakeholder group from the drop-down menu. ","")
&amp;IF(CheckStartEnd=1,"The start year is after the end year. ","")
&amp;IF(CheckUpfrontFreq=1,"Upfront activities are always modelled using a frequency of 1, so if you want to use a different frequency, consider using an ongoing activity. ","")
&amp;IF(CheckWages=1,"Something might be wrong with the wage. Re-select the Labour: Staff Level. ","")
&amp;IF(CheckHighFreq=1, "Consider using an annual frequency of 1 and multiplying the "&amp;IF(tbl_Activities[[#This Row],[Capital or Labour]]="Capital", "Number of Units", "Time Spent")&amp;" by "&amp;TEXT(tbl_Activities[[#This Row],[Annual Frequency]], "0.00")&amp;". ","")
&amp;IF(CheckCustomWage=1,"Ensure that the custom wage is expressed in "&amp;PriceYear&amp;" prices. To convert a value to "&amp;PriceYear&amp;" prices, try using the new formula =CONV(Value, OriginYear). ","")
&amp;IF(CheckNoImpact=1, IF(CheckTotallyBlank=1, "", "This activity does not result in any incremental impact. "),"")</f>
        <v/>
      </c>
      <c r="V13" s="125"/>
    </row>
    <row r="14" spans="1:22" ht="33.75" customHeight="1" x14ac:dyDescent="0.2">
      <c r="A14" s="110" t="str">
        <v/>
      </c>
      <c r="B14" s="73"/>
      <c r="C14" s="143"/>
      <c r="D14" s="143"/>
      <c r="E14" s="143"/>
      <c r="F14" s="144"/>
      <c r="G14" s="144"/>
      <c r="H14" s="143"/>
      <c r="I14" s="143"/>
      <c r="J14" s="145"/>
      <c r="K14" s="143"/>
      <c r="L14" s="143"/>
      <c r="M14" s="146"/>
      <c r="N14" s="147"/>
      <c r="O14" s="72"/>
      <c r="P14" s="147"/>
      <c r="Q14" s="148"/>
      <c r="R14" s="248"/>
      <c r="S14" s="146"/>
      <c r="T14" s="242"/>
      <c r="U14" s="150" t="str" cm="1">
        <f t="array" ref="U14">IF(CheckPartiallyBlank=1,"Some information is missing for this activity. ", "")
&amp;IF(CheckAppliesToNoone=1, IF(CheckTotallyBlank=1, "", "This activity does not apply to anyone. "), "")
&amp;IF(CheckNonBusiness=1,"All Non-Businesses were selected as the Affected Stakeholder Type, but there are no non-businesses for the Affected Stakeholder Group that has been selected. ","")
&amp;IF(CheckSmall=1,"Small businesses were selected as the Affected Stakeholder Type, but there are no small businesses for the Affected Stakeholder Group that has been selected. ","")
&amp;IF(CheckMedLarge=1,"Med/large businesses were selected as the Affected Stakeholder Type, but there are no med/large businesses for the Affected Stakeholder Group that has been selected. ","")
&amp;IF(CheckStakeholders=0,"This stakeholder cannot be found on the 'Stakeholder Profile' tab. Re-select a stakeholder group from the drop-down menu. ","")
&amp;IF(CheckStartEnd=1,"The start year is after the end year. ","")
&amp;IF(CheckUpfrontFreq=1,"Upfront activities are always modelled using a frequency of 1, so if you want to use a different frequency, consider using an ongoing activity. ","")
&amp;IF(CheckWages=1,"Something might be wrong with the wage. Re-select the Labour: Staff Level. ","")
&amp;IF(CheckHighFreq=1, "Consider using an annual frequency of 1 and multiplying the "&amp;IF(tbl_Activities[[#This Row],[Capital or Labour]]="Capital", "Number of Units", "Time Spent")&amp;" by "&amp;TEXT(tbl_Activities[[#This Row],[Annual Frequency]], "0.00")&amp;". ","")
&amp;IF(CheckCustomWage=1,"Ensure that the custom wage is expressed in "&amp;PriceYear&amp;" prices. To convert a value to "&amp;PriceYear&amp;" prices, try using the new formula =CONV(Value, OriginYear). ","")
&amp;IF(CheckNoImpact=1, IF(CheckTotallyBlank=1, "", "This activity does not result in any incremental impact. "),"")</f>
        <v/>
      </c>
      <c r="V14" s="149"/>
    </row>
    <row r="15" spans="1:22" ht="33.75" customHeight="1" x14ac:dyDescent="0.2">
      <c r="A15" s="110" t="str">
        <v/>
      </c>
    </row>
  </sheetData>
  <sheetProtection formatCells="0" formatColumns="0" formatRows="0" insertColumns="0" insertRows="0" insertHyperlinks="0" deleteColumns="0" deleteRows="0" sort="0" autoFilter="0" pivotTables="0"/>
  <phoneticPr fontId="2" type="noConversion"/>
  <conditionalFormatting sqref="B13:V14">
    <cfRule type="notContainsBlanks" dxfId="50" priority="3">
      <formula>LEN(TRIM(B13))&gt;0</formula>
    </cfRule>
  </conditionalFormatting>
  <conditionalFormatting sqref="N13:P14">
    <cfRule type="expression" dxfId="49" priority="4">
      <formula>$M13="Capital"</formula>
    </cfRule>
  </conditionalFormatting>
  <conditionalFormatting sqref="R13:T14">
    <cfRule type="expression" dxfId="48" priority="25">
      <formula>$M13="Capital"</formula>
    </cfRule>
  </conditionalFormatting>
  <conditionalFormatting sqref="U13:U14">
    <cfRule type="expression" dxfId="47" priority="1">
      <formula>IF(LEFT(U13, 8)="Consider", 1, 0)</formula>
    </cfRule>
    <cfRule type="expression" dxfId="46" priority="2">
      <formula>IF(LEFT(U13, 6)="Ensure", 1, 0)</formula>
    </cfRule>
    <cfRule type="expression" dxfId="45" priority="26">
      <formula>IF(U13="This activity does not result in any incremental impact. ", 1, 0)</formula>
    </cfRule>
    <cfRule type="notContainsBlanks" dxfId="44" priority="200">
      <formula>LEN(TRIM(U13))&gt;0</formula>
    </cfRule>
    <cfRule type="containsBlanks" dxfId="43" priority="200">
      <formula>LEN(TRIM(U13))=0</formula>
    </cfRule>
  </conditionalFormatting>
  <dataValidations xWindow="1516" yWindow="753" count="9">
    <dataValidation type="list" allowBlank="1" showInputMessage="1" showErrorMessage="1" sqref="E13:E14" xr:uid="{86DA5521-AFF9-4C60-985D-287C7C539BE5}">
      <formula1>"Upfront, Ongoing"</formula1>
    </dataValidation>
    <dataValidation type="list" allowBlank="1" showInputMessage="1" showErrorMessage="1" sqref="C13:C14" xr:uid="{09DEC4F2-670E-4DF6-9718-F466BEC05DE2}">
      <formula1>"Administrative, Compliance"</formula1>
    </dataValidation>
    <dataValidation type="list" allowBlank="1" showInputMessage="1" showErrorMessage="1" sqref="I13:I14" xr:uid="{853F383D-0D5F-4578-B31E-254B2DBF59D5}">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3:M14" xr:uid="{BD366CD8-2884-44CA-8E1F-EC8B1038547A}">
      <formula1>"Capital, Labour"</formula1>
    </dataValidation>
    <dataValidation type="decimal" allowBlank="1" showInputMessage="1" showErrorMessage="1" sqref="J13:J14" xr:uid="{499C32DE-C682-4D6C-B90F-7C945357B6B6}">
      <formula1>0</formula1>
      <formula2>1</formula2>
    </dataValidation>
    <dataValidation type="list" allowBlank="1" showInputMessage="1" showErrorMessage="1" prompt="If this column is blank, no overhead will be added to the wage." sqref="S13:S14" xr:uid="{FC52AB71-9D1D-4B64-9F4F-1FD0A579E912}">
      <formula1>"Internal (25%), External (50%)"</formula1>
    </dataValidation>
    <dataValidation type="list" allowBlank="1" showInputMessage="1" showErrorMessage="1" sqref="K13:L14" xr:uid="{E477523E-91CF-4DDD-9C96-C94800CF61AC}">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3:U14" xr:uid="{8D7FB6E1-9F2E-44FD-B0CB-717D1931D95F}"/>
    <dataValidation type="list" allowBlank="1" showInputMessage="1" showErrorMessage="1" prompt="For the One-for-one rule, an IN is an Administrative Cost and an OUT is an Administrative Benefit." sqref="D13:D14" xr:uid="{9FFACEAC-74E6-451A-B1B7-8CDE399FA9C9}">
      <formula1>"Cost, Benefit"</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516" yWindow="753" count="4">
        <x14:dataValidation type="list" allowBlank="1" showInputMessage="1" showErrorMessage="1" xr:uid="{DB31E2F3-2C81-4532-B8FD-FF0C32BB89DC}">
          <x14:formula1>
            <xm:f>_xlfn.ANCHORARRAY(Controls!$B$2)</xm:f>
          </x14:formula1>
          <xm:sqref>H13:H14</xm:sqref>
        </x14:dataValidation>
        <x14:dataValidation type="list" allowBlank="1" showInputMessage="1" showErrorMessage="1" xr:uid="{D2C18BA7-5D97-4E84-90B5-0FCDA526DC6F}">
          <x14:formula1>
            <xm:f>_xlfn.ANCHORARRAY(Controls!$G$2)</xm:f>
          </x14:formula1>
          <xm:sqref>F13:G14</xm:sqref>
        </x14:dataValidation>
        <x14:dataValidation type="list" allowBlank="1" showInputMessage="1" showErrorMessage="1" xr:uid="{C1596F26-4AED-447D-869D-AA37CCB5AAD9}">
          <x14:formula1>
            <xm:f>_xlfn.ANCHORARRAY(Controls!$F$2)</xm:f>
          </x14:formula1>
          <xm:sqref>P13:P14</xm:sqref>
        </x14:dataValidation>
        <x14:dataValidation type="list" allowBlank="1" showInputMessage="1" prompt="Custom wages can now be entered here directly, but they must be entered in constant dollars that match the Price Year specified on the Initiative sheet. " xr:uid="{80BF279A-515C-499B-BD4A-2DF5EC1407BD}">
          <x14:formula1>
            <xm:f>_xlfn.ANCHORARRAY(Controls!$I$2)</xm:f>
          </x14:formula1>
          <xm:sqref>T13:T14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1:N47"/>
  <sheetViews>
    <sheetView showGridLines="0" zoomScaleNormal="100" workbookViewId="0">
      <selection activeCell="C17" sqref="C17"/>
    </sheetView>
  </sheetViews>
  <sheetFormatPr defaultColWidth="9.109375" defaultRowHeight="11.4" x14ac:dyDescent="0.2"/>
  <cols>
    <col min="1" max="1" width="4" style="11" customWidth="1"/>
    <col min="2" max="2" width="68.33203125" style="16" customWidth="1"/>
    <col min="3" max="3" width="19.6640625" style="11" customWidth="1"/>
    <col min="4" max="14" width="15.88671875" style="11" customWidth="1"/>
    <col min="15" max="16384" width="9.109375" style="11"/>
  </cols>
  <sheetData>
    <row r="1" spans="2:3" s="213" customFormat="1" ht="15" customHeight="1" x14ac:dyDescent="0.3">
      <c r="B1" s="222"/>
    </row>
    <row r="2" spans="2:3" s="213" customFormat="1" ht="15" customHeight="1" x14ac:dyDescent="0.3">
      <c r="B2" s="223" t="s">
        <v>102</v>
      </c>
    </row>
    <row r="3" spans="2:3" s="213" customFormat="1" ht="15" customHeight="1" x14ac:dyDescent="0.3">
      <c r="B3" s="224"/>
    </row>
    <row r="4" spans="2:3" s="213" customFormat="1" ht="15" customHeight="1" x14ac:dyDescent="0.3">
      <c r="B4" s="23" t="s">
        <v>103</v>
      </c>
    </row>
    <row r="5" spans="2:3" s="213" customFormat="1" ht="15" customHeight="1" x14ac:dyDescent="0.3">
      <c r="B5" s="225" t="s">
        <v>104</v>
      </c>
      <c r="C5" s="81">
        <f>SUM(tbl_Stakeholders[Total Business Count])</f>
        <v>0</v>
      </c>
    </row>
    <row r="6" spans="2:3" s="213" customFormat="1" ht="15" customHeight="1" x14ac:dyDescent="0.3">
      <c r="B6" s="226" t="s">
        <v>312</v>
      </c>
      <c r="C6" s="50" t="str">
        <f>"10 ("&amp;YearOfRegistration&amp;" to "&amp;YearOfRegistration+10-1&amp;")"</f>
        <v>10 (2025 to 2034)</v>
      </c>
    </row>
    <row r="7" spans="2:3" s="213" customFormat="1" ht="15" customHeight="1" x14ac:dyDescent="0.3">
      <c r="B7" s="226" t="s">
        <v>105</v>
      </c>
      <c r="C7" s="50">
        <v>2012</v>
      </c>
    </row>
    <row r="8" spans="2:3" s="213" customFormat="1" ht="15" customHeight="1" x14ac:dyDescent="0.3">
      <c r="B8" s="226" t="s">
        <v>313</v>
      </c>
      <c r="C8" s="50">
        <v>2012</v>
      </c>
    </row>
    <row r="9" spans="2:3" s="213" customFormat="1" ht="15" customHeight="1" x14ac:dyDescent="0.3">
      <c r="B9" s="227" t="s">
        <v>106</v>
      </c>
      <c r="C9" s="272">
        <v>7.0000000000000007E-2</v>
      </c>
    </row>
    <row r="10" spans="2:3" ht="15" customHeight="1" x14ac:dyDescent="0.2"/>
    <row r="11" spans="2:3" s="213" customFormat="1" ht="15" customHeight="1" x14ac:dyDescent="0.3">
      <c r="B11" s="228"/>
      <c r="C11" s="229"/>
    </row>
    <row r="12" spans="2:3" s="213" customFormat="1" ht="15" customHeight="1" x14ac:dyDescent="0.3">
      <c r="B12" s="228"/>
      <c r="C12" s="229"/>
    </row>
    <row r="13" spans="2:3" s="213" customFormat="1" ht="15" customHeight="1" x14ac:dyDescent="0.3">
      <c r="B13" s="228"/>
      <c r="C13" s="229"/>
    </row>
    <row r="14" spans="2:3" s="213" customFormat="1" ht="15" customHeight="1" x14ac:dyDescent="0.3">
      <c r="B14" s="23" t="s">
        <v>107</v>
      </c>
      <c r="C14" s="229"/>
    </row>
    <row r="15" spans="2:3" s="213" customFormat="1" ht="15" customHeight="1" x14ac:dyDescent="0.3">
      <c r="B15" s="38" t="s">
        <v>108</v>
      </c>
      <c r="C15" s="41">
        <f>$M$47</f>
        <v>0</v>
      </c>
    </row>
    <row r="16" spans="2:3" s="213" customFormat="1" ht="15" customHeight="1" x14ac:dyDescent="0.3">
      <c r="B16" s="39" t="s">
        <v>109</v>
      </c>
      <c r="C16" s="230">
        <f>IFERROR($C$15/$C$5, 0)</f>
        <v>0</v>
      </c>
    </row>
    <row r="17" spans="2:14" s="213" customFormat="1" ht="15" customHeight="1" x14ac:dyDescent="0.3">
      <c r="B17" s="39" t="s">
        <v>110</v>
      </c>
      <c r="C17" s="231">
        <f>$C$15*AF_7_10</f>
        <v>0</v>
      </c>
    </row>
    <row r="18" spans="2:14" s="213" customFormat="1" ht="15" customHeight="1" x14ac:dyDescent="0.3">
      <c r="B18" s="40" t="s">
        <v>111</v>
      </c>
      <c r="C18" s="232">
        <f>IFERROR($C$17/$C$5, 0)</f>
        <v>0</v>
      </c>
    </row>
    <row r="19" spans="2:14" s="213" customFormat="1" ht="15" customHeight="1" x14ac:dyDescent="0.3">
      <c r="B19" s="24" t="s">
        <v>310</v>
      </c>
    </row>
    <row r="20" spans="2:14" ht="15" customHeight="1" x14ac:dyDescent="0.2">
      <c r="B20" s="24"/>
    </row>
    <row r="21" spans="2:14" s="213" customFormat="1" ht="15" customHeight="1" x14ac:dyDescent="0.3">
      <c r="B21" s="25" t="str" cm="1">
        <f t="array" ref="B21">IF(NoErrors, "", IF(OneError, "There is an unresolved error on the Activities sheet.", "There are unresolved errors on the Activities sheet."))</f>
        <v/>
      </c>
    </row>
    <row r="22" spans="2:14" ht="15" customHeight="1" x14ac:dyDescent="0.2">
      <c r="B22" s="24"/>
    </row>
    <row r="23" spans="2:14" ht="22.8" x14ac:dyDescent="0.4">
      <c r="B23" s="142" t="s">
        <v>112</v>
      </c>
    </row>
    <row r="24" spans="2:14" ht="318" customHeight="1" x14ac:dyDescent="0.2">
      <c r="B24" s="56" t="str">
        <f>OneforOneText</f>
        <v>The one-for-one rule does not apply as there is no impact on business.</v>
      </c>
      <c r="C24" s="51"/>
      <c r="D24" s="52"/>
      <c r="E24" s="52"/>
    </row>
    <row r="26" spans="2:14" s="213" customFormat="1" ht="12" x14ac:dyDescent="0.3">
      <c r="B26" s="233" t="s">
        <v>113</v>
      </c>
    </row>
    <row r="27" spans="2:14" s="213" customFormat="1" ht="12" x14ac:dyDescent="0.3">
      <c r="B27" s="233"/>
    </row>
    <row r="28" spans="2:14" s="213" customFormat="1" ht="12" x14ac:dyDescent="0.3">
      <c r="B28" s="23" t="s">
        <v>114</v>
      </c>
    </row>
    <row r="29" spans="2:14" s="213" customFormat="1" ht="12" x14ac:dyDescent="0.3">
      <c r="B29" s="234" t="s">
        <v>305</v>
      </c>
      <c r="C29" s="235" cm="1">
        <f t="array" ref="C29:L29">_xlfn.SEQUENCE(,10, YearOfRegistration)</f>
        <v>2025</v>
      </c>
      <c r="D29" s="235">
        <v>2026</v>
      </c>
      <c r="E29" s="235">
        <v>2027</v>
      </c>
      <c r="F29" s="235">
        <v>2028</v>
      </c>
      <c r="G29" s="235">
        <v>2029</v>
      </c>
      <c r="H29" s="235">
        <v>2030</v>
      </c>
      <c r="I29" s="235">
        <v>2031</v>
      </c>
      <c r="J29" s="235">
        <v>2032</v>
      </c>
      <c r="K29" s="235">
        <v>2033</v>
      </c>
      <c r="L29" s="235">
        <v>2034</v>
      </c>
      <c r="M29" s="236" t="s">
        <v>1</v>
      </c>
      <c r="N29" s="236" t="s">
        <v>115</v>
      </c>
    </row>
    <row r="30" spans="2:14" s="213" customFormat="1" x14ac:dyDescent="0.3">
      <c r="B30" s="237" t="str">
        <f>"Undiscounted ("&amp;PriceYear&amp;" price year)"</f>
        <v>Undiscounted (2024 price year)</v>
      </c>
      <c r="C30" s="7" cm="1">
        <f t="array" ref="C30:L30">-SUMIFS(_xlfn.ANCHORARRAY(All!Q2),_xlfn.ANCHORARRAY( All!C2), "Administrative",_xlfn.ANCHORARRAY( All!D2), "Cost",_xlfn.ANCHORARRAY( All!E2),_xlfn.ANCHORARRAY( C29))</f>
        <v>0</v>
      </c>
      <c r="D30" s="7">
        <v>0</v>
      </c>
      <c r="E30" s="7">
        <v>0</v>
      </c>
      <c r="F30" s="7">
        <v>0</v>
      </c>
      <c r="G30" s="7">
        <v>0</v>
      </c>
      <c r="H30" s="7">
        <v>0</v>
      </c>
      <c r="I30" s="7">
        <v>0</v>
      </c>
      <c r="J30" s="7">
        <v>0</v>
      </c>
      <c r="K30" s="7">
        <v>0</v>
      </c>
      <c r="L30" s="7">
        <v>0</v>
      </c>
      <c r="M30" s="7">
        <f>SUM(_xlfn.ANCHORARRAY(C30))</f>
        <v>0</v>
      </c>
      <c r="N30" s="7" t="s">
        <v>116</v>
      </c>
    </row>
    <row r="31" spans="2:14" s="213" customFormat="1" x14ac:dyDescent="0.3">
      <c r="B31" s="237" t="str">
        <f>"Discounted ("&amp;PriceYear&amp;" price year, 7% discount rate, "&amp;PVBaseYear&amp; " discount base year)"</f>
        <v>Discounted (2024 price year, 7% discount rate, 2025 discount base year)</v>
      </c>
      <c r="C31" s="7" cm="1">
        <f t="array" ref="C31:L31">-SUMIFS(_xlfn.ANCHORARRAY(All!X2),_xlfn.ANCHORARRAY( All!D2), "Cost",_xlfn.ANCHORARRAY( All!E2),_xlfn.ANCHORARRAY( C29))</f>
        <v>0</v>
      </c>
      <c r="D31" s="7">
        <v>0</v>
      </c>
      <c r="E31" s="7">
        <v>0</v>
      </c>
      <c r="F31" s="7">
        <v>0</v>
      </c>
      <c r="G31" s="7">
        <v>0</v>
      </c>
      <c r="H31" s="7">
        <v>0</v>
      </c>
      <c r="I31" s="7">
        <v>0</v>
      </c>
      <c r="J31" s="7">
        <v>0</v>
      </c>
      <c r="K31" s="7">
        <v>0</v>
      </c>
      <c r="L31" s="7">
        <v>0</v>
      </c>
      <c r="M31" s="7">
        <f>SUM(_xlfn.ANCHORARRAY(C31))</f>
        <v>0</v>
      </c>
      <c r="N31" s="7">
        <f>M31*AF_7_10</f>
        <v>0</v>
      </c>
    </row>
    <row r="32" spans="2:14" s="213" customFormat="1" x14ac:dyDescent="0.3">
      <c r="B32" s="237" t="s">
        <v>306</v>
      </c>
      <c r="C32" s="7" cm="1">
        <f t="array" ref="C32:L32">_xlfn.ANCHORARRAY(C30)*OneforOne_CPI_Conversion</f>
        <v>0</v>
      </c>
      <c r="D32" s="7">
        <v>0</v>
      </c>
      <c r="E32" s="7">
        <v>0</v>
      </c>
      <c r="F32" s="7">
        <v>0</v>
      </c>
      <c r="G32" s="7">
        <v>0</v>
      </c>
      <c r="H32" s="7">
        <v>0</v>
      </c>
      <c r="I32" s="7">
        <v>0</v>
      </c>
      <c r="J32" s="7">
        <v>0</v>
      </c>
      <c r="K32" s="7">
        <v>0</v>
      </c>
      <c r="L32" s="7">
        <v>0</v>
      </c>
      <c r="M32" s="7">
        <f>SUM(_xlfn.ANCHORARRAY(C32))</f>
        <v>0</v>
      </c>
      <c r="N32" s="7" t="s">
        <v>116</v>
      </c>
    </row>
    <row r="33" spans="2:14" s="213" customFormat="1" x14ac:dyDescent="0.3">
      <c r="B33" s="237" t="s">
        <v>307</v>
      </c>
      <c r="C33" s="7" cm="1">
        <f t="array" ref="C33:L33">_xlfn.ANCHORARRAY(C31)*OneforOne_CPI_Conversion/(1.07)^Years_since_2012</f>
        <v>0</v>
      </c>
      <c r="D33" s="7">
        <v>0</v>
      </c>
      <c r="E33" s="7">
        <v>0</v>
      </c>
      <c r="F33" s="7">
        <v>0</v>
      </c>
      <c r="G33" s="7">
        <v>0</v>
      </c>
      <c r="H33" s="7">
        <v>0</v>
      </c>
      <c r="I33" s="7">
        <v>0</v>
      </c>
      <c r="J33" s="7">
        <v>0</v>
      </c>
      <c r="K33" s="7">
        <v>0</v>
      </c>
      <c r="L33" s="7">
        <v>0</v>
      </c>
      <c r="M33" s="7">
        <f>SUM(_xlfn.ANCHORARRAY(C33))</f>
        <v>0</v>
      </c>
      <c r="N33" s="7">
        <f>M33*AF_7_10</f>
        <v>0</v>
      </c>
    </row>
    <row r="34" spans="2:14" s="213" customFormat="1" x14ac:dyDescent="0.3">
      <c r="B34" s="222"/>
    </row>
    <row r="35" spans="2:14" s="213" customFormat="1" ht="12" x14ac:dyDescent="0.3">
      <c r="B35" s="23" t="s">
        <v>117</v>
      </c>
    </row>
    <row r="36" spans="2:14" s="213" customFormat="1" ht="12" x14ac:dyDescent="0.3">
      <c r="B36" s="234" t="s">
        <v>305</v>
      </c>
      <c r="C36" s="235" cm="1">
        <f t="array" ref="C36:L36">_xlfn.SEQUENCE(,10, YearOfRegistration)</f>
        <v>2025</v>
      </c>
      <c r="D36" s="235">
        <v>2026</v>
      </c>
      <c r="E36" s="235">
        <v>2027</v>
      </c>
      <c r="F36" s="235">
        <v>2028</v>
      </c>
      <c r="G36" s="235">
        <v>2029</v>
      </c>
      <c r="H36" s="235">
        <v>2030</v>
      </c>
      <c r="I36" s="235">
        <v>2031</v>
      </c>
      <c r="J36" s="235">
        <v>2032</v>
      </c>
      <c r="K36" s="235">
        <v>2033</v>
      </c>
      <c r="L36" s="235">
        <v>2034</v>
      </c>
      <c r="M36" s="236" t="s">
        <v>1</v>
      </c>
      <c r="N36" s="236" t="s">
        <v>115</v>
      </c>
    </row>
    <row r="37" spans="2:14" s="213" customFormat="1" x14ac:dyDescent="0.3">
      <c r="B37" s="237" t="str">
        <f>"Undiscounted ("&amp;PriceYear&amp;" price year)"</f>
        <v>Undiscounted (2024 price year)</v>
      </c>
      <c r="C37" s="7" cm="1">
        <f t="array" ref="C37:L37">SUMIFS(_xlfn.ANCHORARRAY(All!Q2),_xlfn.ANCHORARRAY( All!C2), "Administrative",_xlfn.ANCHORARRAY( All!D2), "Benefit",_xlfn.ANCHORARRAY( All!E2),_xlfn.ANCHORARRAY( C36))</f>
        <v>0</v>
      </c>
      <c r="D37" s="7">
        <v>0</v>
      </c>
      <c r="E37" s="7">
        <v>0</v>
      </c>
      <c r="F37" s="7">
        <v>0</v>
      </c>
      <c r="G37" s="7">
        <v>0</v>
      </c>
      <c r="H37" s="7">
        <v>0</v>
      </c>
      <c r="I37" s="7">
        <v>0</v>
      </c>
      <c r="J37" s="7">
        <v>0</v>
      </c>
      <c r="K37" s="7">
        <v>0</v>
      </c>
      <c r="L37" s="7">
        <v>0</v>
      </c>
      <c r="M37" s="7">
        <f>SUM(_xlfn.ANCHORARRAY(C37))</f>
        <v>0</v>
      </c>
      <c r="N37" s="7" t="s">
        <v>116</v>
      </c>
    </row>
    <row r="38" spans="2:14" s="213" customFormat="1" x14ac:dyDescent="0.3">
      <c r="B38" s="237" t="str">
        <f>"Discounted ("&amp;PriceYear&amp;" price year, 7% discount rate, "&amp;PVBaseYear&amp; " discount base year)"</f>
        <v>Discounted (2024 price year, 7% discount rate, 2025 discount base year)</v>
      </c>
      <c r="C38" s="7" cm="1">
        <f t="array" ref="C38:L38">SUMIFS(_xlfn.ANCHORARRAY(All!X2),_xlfn.ANCHORARRAY( All!D2), "Benefit",_xlfn.ANCHORARRAY( All!E2),_xlfn.ANCHORARRAY( C36))</f>
        <v>0</v>
      </c>
      <c r="D38" s="7">
        <v>0</v>
      </c>
      <c r="E38" s="7">
        <v>0</v>
      </c>
      <c r="F38" s="7">
        <v>0</v>
      </c>
      <c r="G38" s="7">
        <v>0</v>
      </c>
      <c r="H38" s="7">
        <v>0</v>
      </c>
      <c r="I38" s="7">
        <v>0</v>
      </c>
      <c r="J38" s="7">
        <v>0</v>
      </c>
      <c r="K38" s="7">
        <v>0</v>
      </c>
      <c r="L38" s="7">
        <v>0</v>
      </c>
      <c r="M38" s="7">
        <f>SUM(_xlfn.ANCHORARRAY(C38))</f>
        <v>0</v>
      </c>
      <c r="N38" s="7">
        <f>M38*AF_7_10</f>
        <v>0</v>
      </c>
    </row>
    <row r="39" spans="2:14" s="213" customFormat="1" x14ac:dyDescent="0.3">
      <c r="B39" s="237" t="s">
        <v>306</v>
      </c>
      <c r="C39" s="7" cm="1">
        <f t="array" ref="C39:L39">_xlfn.ANCHORARRAY(C37)*OneforOne_CPI_Conversion</f>
        <v>0</v>
      </c>
      <c r="D39" s="7">
        <v>0</v>
      </c>
      <c r="E39" s="7">
        <v>0</v>
      </c>
      <c r="F39" s="7">
        <v>0</v>
      </c>
      <c r="G39" s="7">
        <v>0</v>
      </c>
      <c r="H39" s="7">
        <v>0</v>
      </c>
      <c r="I39" s="7">
        <v>0</v>
      </c>
      <c r="J39" s="7">
        <v>0</v>
      </c>
      <c r="K39" s="7">
        <v>0</v>
      </c>
      <c r="L39" s="7">
        <v>0</v>
      </c>
      <c r="M39" s="7">
        <f>SUM(_xlfn.ANCHORARRAY(C39))</f>
        <v>0</v>
      </c>
      <c r="N39" s="7" t="s">
        <v>116</v>
      </c>
    </row>
    <row r="40" spans="2:14" s="213" customFormat="1" x14ac:dyDescent="0.3">
      <c r="B40" s="237" t="s">
        <v>307</v>
      </c>
      <c r="C40" s="7" cm="1">
        <f t="array" ref="C40:L40">_xlfn.ANCHORARRAY(C38)*OneforOne_CPI_Conversion/(1.07)^Years_since_2012</f>
        <v>0</v>
      </c>
      <c r="D40" s="7">
        <v>0</v>
      </c>
      <c r="E40" s="7">
        <v>0</v>
      </c>
      <c r="F40" s="7">
        <v>0</v>
      </c>
      <c r="G40" s="7">
        <v>0</v>
      </c>
      <c r="H40" s="7">
        <v>0</v>
      </c>
      <c r="I40" s="7">
        <v>0</v>
      </c>
      <c r="J40" s="7">
        <v>0</v>
      </c>
      <c r="K40" s="7">
        <v>0</v>
      </c>
      <c r="L40" s="7">
        <v>0</v>
      </c>
      <c r="M40" s="7">
        <f>SUM(_xlfn.ANCHORARRAY(C40))</f>
        <v>0</v>
      </c>
      <c r="N40" s="7">
        <f>M40*AF_7_10</f>
        <v>0</v>
      </c>
    </row>
    <row r="41" spans="2:14" s="213" customFormat="1" x14ac:dyDescent="0.3">
      <c r="B41" s="222"/>
    </row>
    <row r="42" spans="2:14" s="213" customFormat="1" ht="12" x14ac:dyDescent="0.3">
      <c r="B42" s="23" t="s">
        <v>118</v>
      </c>
    </row>
    <row r="43" spans="2:14" s="213" customFormat="1" ht="12" x14ac:dyDescent="0.3">
      <c r="B43" s="234" t="s">
        <v>305</v>
      </c>
      <c r="C43" s="235" cm="1">
        <f t="array" ref="C43:L43">_xlfn.SEQUENCE(,10, YearOfRegistration)</f>
        <v>2025</v>
      </c>
      <c r="D43" s="235">
        <v>2026</v>
      </c>
      <c r="E43" s="235">
        <v>2027</v>
      </c>
      <c r="F43" s="235">
        <v>2028</v>
      </c>
      <c r="G43" s="235">
        <v>2029</v>
      </c>
      <c r="H43" s="235">
        <v>2030</v>
      </c>
      <c r="I43" s="235">
        <v>2031</v>
      </c>
      <c r="J43" s="235">
        <v>2032</v>
      </c>
      <c r="K43" s="235">
        <v>2033</v>
      </c>
      <c r="L43" s="235">
        <v>2034</v>
      </c>
      <c r="M43" s="236" t="s">
        <v>1</v>
      </c>
      <c r="N43" s="236" t="s">
        <v>115</v>
      </c>
    </row>
    <row r="44" spans="2:14" s="213" customFormat="1" x14ac:dyDescent="0.3">
      <c r="B44" s="237" t="str">
        <f>"Undiscounted ("&amp;PriceYear&amp;" price year)"</f>
        <v>Undiscounted (2024 price year)</v>
      </c>
      <c r="C44" s="7" cm="1">
        <f t="array" ref="C44:L44">_xlfn.ANCHORARRAY(C37)-_xlfn.ANCHORARRAY(C30)</f>
        <v>0</v>
      </c>
      <c r="D44" s="7">
        <v>0</v>
      </c>
      <c r="E44" s="7">
        <v>0</v>
      </c>
      <c r="F44" s="7">
        <v>0</v>
      </c>
      <c r="G44" s="7">
        <v>0</v>
      </c>
      <c r="H44" s="7">
        <v>0</v>
      </c>
      <c r="I44" s="7">
        <v>0</v>
      </c>
      <c r="J44" s="7">
        <v>0</v>
      </c>
      <c r="K44" s="7">
        <v>0</v>
      </c>
      <c r="L44" s="7">
        <v>0</v>
      </c>
      <c r="M44" s="7">
        <f>SUM(_xlfn.ANCHORARRAY(C44))</f>
        <v>0</v>
      </c>
      <c r="N44" s="7" t="s">
        <v>116</v>
      </c>
    </row>
    <row r="45" spans="2:14" s="213" customFormat="1" x14ac:dyDescent="0.3">
      <c r="B45" s="237" t="str">
        <f>"Discounted ("&amp;PriceYear&amp;" price year, 7% discount rate, "&amp;PVBaseYear&amp; " discount base year)"</f>
        <v>Discounted (2024 price year, 7% discount rate, 2025 discount base year)</v>
      </c>
      <c r="C45" s="7" cm="1">
        <f t="array" ref="C45:L45">_xlfn.ANCHORARRAY(C38)-_xlfn.ANCHORARRAY(C31)</f>
        <v>0</v>
      </c>
      <c r="D45" s="7">
        <v>0</v>
      </c>
      <c r="E45" s="7">
        <v>0</v>
      </c>
      <c r="F45" s="7">
        <v>0</v>
      </c>
      <c r="G45" s="7">
        <v>0</v>
      </c>
      <c r="H45" s="7">
        <v>0</v>
      </c>
      <c r="I45" s="7">
        <v>0</v>
      </c>
      <c r="J45" s="7">
        <v>0</v>
      </c>
      <c r="K45" s="7">
        <v>0</v>
      </c>
      <c r="L45" s="7">
        <v>0</v>
      </c>
      <c r="M45" s="7">
        <f>SUM(_xlfn.ANCHORARRAY(C45))</f>
        <v>0</v>
      </c>
      <c r="N45" s="7">
        <f>M45*AF_7_10</f>
        <v>0</v>
      </c>
    </row>
    <row r="46" spans="2:14" s="213" customFormat="1" x14ac:dyDescent="0.3">
      <c r="B46" s="237" t="s">
        <v>306</v>
      </c>
      <c r="C46" s="7" cm="1">
        <f t="array" ref="C46:L46">_xlfn.ANCHORARRAY(C39)-_xlfn.ANCHORARRAY(C32)</f>
        <v>0</v>
      </c>
      <c r="D46" s="7">
        <v>0</v>
      </c>
      <c r="E46" s="7">
        <v>0</v>
      </c>
      <c r="F46" s="7">
        <v>0</v>
      </c>
      <c r="G46" s="7">
        <v>0</v>
      </c>
      <c r="H46" s="7">
        <v>0</v>
      </c>
      <c r="I46" s="7">
        <v>0</v>
      </c>
      <c r="J46" s="7">
        <v>0</v>
      </c>
      <c r="K46" s="7">
        <v>0</v>
      </c>
      <c r="L46" s="7">
        <v>0</v>
      </c>
      <c r="M46" s="7">
        <f>SUM(_xlfn.ANCHORARRAY(C46))</f>
        <v>0</v>
      </c>
      <c r="N46" s="7" t="s">
        <v>116</v>
      </c>
    </row>
    <row r="47" spans="2:14" s="213" customFormat="1" x14ac:dyDescent="0.3">
      <c r="B47" s="237" t="s">
        <v>307</v>
      </c>
      <c r="C47" s="7" cm="1">
        <f t="array" ref="C47:L47">_xlfn.ANCHORARRAY(C40)-_xlfn.ANCHORARRAY(C33)</f>
        <v>0</v>
      </c>
      <c r="D47" s="7">
        <v>0</v>
      </c>
      <c r="E47" s="7">
        <v>0</v>
      </c>
      <c r="F47" s="7">
        <v>0</v>
      </c>
      <c r="G47" s="7">
        <v>0</v>
      </c>
      <c r="H47" s="7">
        <v>0</v>
      </c>
      <c r="I47" s="7">
        <v>0</v>
      </c>
      <c r="J47" s="7">
        <v>0</v>
      </c>
      <c r="K47" s="7">
        <v>0</v>
      </c>
      <c r="L47" s="7">
        <v>0</v>
      </c>
      <c r="M47" s="7">
        <f>SUM(_xlfn.ANCHORARRAY(C47))</f>
        <v>0</v>
      </c>
      <c r="N47" s="7">
        <f>M47*AF_7_10</f>
        <v>0</v>
      </c>
    </row>
  </sheetData>
  <conditionalFormatting sqref="B21">
    <cfRule type="notContainsBlanks" dxfId="42" priority="1">
      <formula>LEN(TRIM(B21))&gt;0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1:D100"/>
  <sheetViews>
    <sheetView showGridLines="0" zoomScaleNormal="100" workbookViewId="0">
      <selection activeCell="C10" sqref="C10"/>
    </sheetView>
  </sheetViews>
  <sheetFormatPr defaultColWidth="9.109375" defaultRowHeight="11.4" x14ac:dyDescent="0.3"/>
  <cols>
    <col min="1" max="1" width="4" style="151" customWidth="1"/>
    <col min="2" max="2" width="56" style="157" customWidth="1"/>
    <col min="3" max="3" width="24.88671875" style="151" customWidth="1"/>
    <col min="4" max="4" width="22.5546875" style="151" customWidth="1"/>
    <col min="5" max="6" width="19.44140625" style="151" customWidth="1"/>
    <col min="7" max="7" width="15.33203125" style="151" customWidth="1"/>
    <col min="8" max="14" width="19.44140625" style="151" customWidth="1"/>
    <col min="15" max="16384" width="9.109375" style="151"/>
  </cols>
  <sheetData>
    <row r="1" spans="2:4" ht="15" customHeight="1" x14ac:dyDescent="0.3"/>
    <row r="2" spans="2:4" ht="15" customHeight="1" x14ac:dyDescent="0.3">
      <c r="B2" s="189" t="s">
        <v>119</v>
      </c>
    </row>
    <row r="3" spans="2:4" ht="15" customHeight="1" x14ac:dyDescent="0.3">
      <c r="B3" s="175"/>
      <c r="C3" s="180"/>
      <c r="D3" s="180"/>
    </row>
    <row r="4" spans="2:4" ht="15" customHeight="1" x14ac:dyDescent="0.3">
      <c r="B4" s="190" t="s">
        <v>120</v>
      </c>
      <c r="C4" s="181" t="s">
        <v>121</v>
      </c>
      <c r="D4" s="182" t="s">
        <v>122</v>
      </c>
    </row>
    <row r="5" spans="2:4" ht="15" customHeight="1" x14ac:dyDescent="0.3">
      <c r="B5" s="167" t="s">
        <v>123</v>
      </c>
      <c r="C5" s="194">
        <f>SUM(tbl_Stakeholders[Small Business Count])</f>
        <v>0</v>
      </c>
      <c r="D5" s="284" t="s">
        <v>124</v>
      </c>
    </row>
    <row r="6" spans="2:4" ht="15" customHeight="1" x14ac:dyDescent="0.3">
      <c r="B6" s="167" t="s">
        <v>312</v>
      </c>
      <c r="C6" s="186" t="str">
        <f>Time&amp;" ("&amp;YearOfRegistration&amp;" to "&amp;YearOfRegistration+Time-1&amp;")"</f>
        <v>10 (2025 to 2034)</v>
      </c>
      <c r="D6" s="285"/>
    </row>
    <row r="7" spans="2:4" ht="15" customHeight="1" x14ac:dyDescent="0.3">
      <c r="B7" s="167" t="s">
        <v>105</v>
      </c>
      <c r="C7" s="188">
        <f>PriceYear</f>
        <v>2024</v>
      </c>
      <c r="D7" s="285"/>
    </row>
    <row r="8" spans="2:4" ht="15" customHeight="1" x14ac:dyDescent="0.3">
      <c r="B8" s="167" t="s">
        <v>106</v>
      </c>
      <c r="C8" s="186" t="str">
        <f>TEXT(Discount, "0%")</f>
        <v>7%</v>
      </c>
      <c r="D8" s="285"/>
    </row>
    <row r="9" spans="2:4" ht="15" customHeight="1" x14ac:dyDescent="0.3">
      <c r="B9" s="167" t="s">
        <v>313</v>
      </c>
      <c r="C9" s="188">
        <f>PVBaseYear</f>
        <v>2025</v>
      </c>
      <c r="D9" s="286"/>
    </row>
    <row r="10" spans="2:4" ht="15" customHeight="1" x14ac:dyDescent="0.3">
      <c r="B10" s="195" t="s">
        <v>125</v>
      </c>
      <c r="C10" s="187" t="s">
        <v>126</v>
      </c>
      <c r="D10" s="282" t="s">
        <v>129</v>
      </c>
    </row>
    <row r="11" spans="2:4" ht="15" customHeight="1" x14ac:dyDescent="0.3">
      <c r="B11" s="191" t="s">
        <v>127</v>
      </c>
      <c r="C11" s="183" t="s">
        <v>128</v>
      </c>
      <c r="D11" s="283"/>
    </row>
    <row r="12" spans="2:4" ht="15" customHeight="1" x14ac:dyDescent="0.3">
      <c r="B12" s="175"/>
      <c r="C12" s="175"/>
      <c r="D12" s="180"/>
    </row>
    <row r="13" spans="2:4" ht="15" customHeight="1" x14ac:dyDescent="0.3">
      <c r="B13" s="175"/>
      <c r="C13" s="175"/>
      <c r="D13" s="180"/>
    </row>
    <row r="14" spans="2:4" ht="15" customHeight="1" x14ac:dyDescent="0.3">
      <c r="B14" s="192" t="str" cm="1">
        <f t="array" ref="B14">IF(NoSBImpacts, "This sheet is blank because there are no impacts to small businesses.", "Note: netative net values represent net costs and positive net values represent net benefits.")</f>
        <v>This sheet is blank because there are no impacts to small businesses.</v>
      </c>
      <c r="C14" s="193"/>
      <c r="D14" s="180"/>
    </row>
    <row r="15" spans="2:4" ht="15" customHeight="1" x14ac:dyDescent="0.3">
      <c r="B15" s="175" t="str" cm="1">
        <f t="array" ref="B15">IF(NoErrors, "", IF(OneError, "There is an unresolved error on the Activities sheet.", "There are unresolved errors on the Activities sheet."))</f>
        <v/>
      </c>
      <c r="C15" s="180"/>
      <c r="D15" s="180"/>
    </row>
    <row r="16" spans="2:4" ht="15" customHeight="1" x14ac:dyDescent="0.3"/>
    <row r="17" spans="2:2" x14ac:dyDescent="0.3">
      <c r="B17" s="157" t="str" cm="1">
        <f t="array" ref="B17">IF(NoSBImpacts, "",
_xlfn.LET(
_xlpm.Magnitude, 1/10^IF($C$10="Millions",6,IF($C$10="Billions",9)),
_xlpm.Magnitude_text, IF($C$10="Millions", " ($ millions)", IF($C$10="Billions", " ($ billions)", "")),
_xlpm.FO_ActivityAdminCompliance,_xlfn.ANCHORARRAY( All!$B$2):_xlfn.ANCHORARRAY(All!$C$2),
_xlpm.FO_SBImpactD,_xlfn.ANCHORARRAY( All!$T$2),
_xlpm.FO_SBImpactU,_xlfn.ANCHORARRAY( All!$O$2),
_xlpm.Yr_hdrD, _xlfn.HSTACK(_xlfn.SEQUENCE(, Time, YearOfRegistration), "Total", "Annualized"),
_xlpm.FO_IO,_xlfn.ANCHORARRAY( All!$D$2),
_xlpm.FO_Year,_xlfn.ANCHORARRAY( All!$E$2),
_xlpm.In_AnnualDiscounted, -SUMIFS(_xlpm.FO_SBImpactD, _xlpm.FO_IO, "Cost", _xlpm.FO_Year, _xlpm.Yr_hdrD)*_xlpm.Magnitude,
_xlpm.In_AnnualUndiscounted, -SUMIFS(_xlpm.FO_SBImpactU, _xlpm.FO_IO, "Cost", _xlpm.FO_Year, _xlpm.Yr_hdrD)*_xlpm.Magnitude,
_xlpm.Out_AnnualDiscounted, SUMIFS(_xlpm.FO_SBImpactD, _xlpm.FO_IO, "Benefit", _xlpm.FO_Year, _xlpm.Yr_hdrD)*_xlpm.Magnitude,
_xlpm.Out_AnnualUndiscounted, SUMIFS(_xlpm.FO_SBImpactU, _xlpm.FO_IO, "Benefit", _xlpm.FO_Year, _xlpm.Yr_hdrD)*_xlpm.Magnitude,
_xlpm.Net_AnnualDiscounted, SUMIFS(_xlpm.FO_SBImpactD,_xlpm.FO_Year, _xlpm.Yr_hdrD)*_xlpm.Magnitude,
_xlpm.Net_AnnualUndiscounted, SUMIFS(_xlpm.FO_SBImpactU, _xlpm.FO_Year, _xlpm.Yr_hdrD)*_xlpm.Magnitude,
_xlpm.k, _xlfn.UNIQUE(_xlfn._xlws.FILTER(_xlpm.FO_ActivityAdminCompliance, (L_IO="Benefit")*(_xlpm.FO_SBImpactD&lt;&gt;0))),
_xlpm.w, _xlfn.UNIQUE(_xlfn._xlws.FILTER(_xlpm.FO_ActivityAdminCompliance, (L_IO="Cost")*(_xlpm.FO_SBImpactD&lt;&gt;0))),
_xlpm.s, IF($C$11="Default", 1, IF($C$11="Total Impact (↑)", 2, IF($C$11="Total Impact (↓)", 3, IF($C$11="Administrative then Compliance", 4, IF($C$11="Compliance then Administrative", 5, IF($C$11="Activity (↑az)", 6, IF($C$11="Activity (↓za)", 7))))))),
_xlpm.a, IFERROR(INDEX(_xlpm.k, , 2),""),
_xlpm.b, IFERROR(INDEX(_xlpm.k, , 1),""),
_xlpm.c, _xlfn.LET(_xlpm.x, SUMIFS(_xlpm.FO_SBImpactD, L_IO, "Benefit", L_A, _xlpm.b, INDEX(_xlpm.FO_ActivityAdminCompliance,,2), _xlpm.a), _xlpm.x*_xlpm.Magnitude),
_xlpm.p, _xlfn.HSTACK(_xlpm.a, _xlpm.b, _xlpm.c, _xlpm.c*AF),
_xlpm.e, IF(_xlpm.s=1, _xlpm.p, _xlfn._xlws.SORT(_xlpm.p, IF(_xlpm.s&lt;4, 3, IF(_xlpm.s&lt;6, 1, 4)), IF(ISEVEN(_xlpm.s), 1, -1))),
_xlpm.TBAB, _xlfn.HSTACK(SUM(INDEX(_xlpm.e,,3)), SUM(INDEX(_xlpm.e,,4))),
_xlpm.tbl_SBLBenefits,
     _xlfn.VSTACK("Benefits"&amp;_xlpm.Magnitude_text,
     _xlfn.HSTACK("Administrative or Compliance", "Description of benefit", "Present value", "Annualized Value"),
     _xlpm.e, _xlfn.HSTACK("Total", "Total costs", _xlpm.TBAB)),
_xlpm.f, IFERROR(INDEX(_xlpm.w, , 2),""),
_xlpm.g, IFERROR(INDEX(_xlpm.w, , 1),""),
_xlpm.h, -_xlfn.LET(_xlpm.y, SUMIFS(_xlpm.FO_SBImpactD, L_IO, "Cost", L_A, _xlpm.g, INDEX(_xlpm.FO_ActivityAdminCompliance,,2), _xlpm.f), _xlpm.y*_xlpm.Magnitude),
_xlpm.i, _xlfn.HSTACK(_xlpm.f, _xlpm.g, _xlpm.h, _xlpm.h*AF),
_xlpm.j, IF(_xlpm.s=1, _xlpm.i, _xlfn._xlws.SORT(_xlpm.i, IF(_xlpm.s&lt;4, 3, IF(_xlpm.s&lt;6, 1, 4)), IF(ISEVEN(_xlpm.s), 1, -1))),
_xlpm.TCAC, _xlfn.HSTACK(SUM(INDEX(_xlpm.j,,3)), SUM(INDEX(_xlpm.j,,4))),
_xlpm.tbl_SBLCosts,
     _xlfn.VSTACK("Costs"&amp;_xlpm.Magnitude_text,
     _xlfn.HSTACK("Administrative or Compliance", "Description of cost", "Present value", "Annualized value"),
     _xlpm.j, _xlfn.HSTACK("Total", "Total costs", _xlpm.TCAC)),
_xlpm.net_11, "Net impact on all impacted small businesses "&amp;CHAR(10)&amp;"[Total benefits minus total costs]",
_xlpm.net_12, SUM(_xlpm.FO_SBImpactD)*_xlpm.Magnitude,
_xlpm.net_13, _xlpm.net_12*AF,
_xlpm.net_21, "Average net impact on each impacted small business " &amp;CHAR(10)&amp;"[Net impact divided by number of impacted small businesses]",
_xlpm.net_22, _xlpm.net_12/$C$5,
_xlpm.net_23, _xlpm.net_13/$C$5,
_xlpm.tbl_SBLNet, _xlfn.VSTACK(_xlfn.HSTACK(_xlpm.net_11, _xlpm.net_12, _xlpm.net_13), _xlfn.HSTACK(_xlpm.net_21, _xlpm.net_22, _xlpm.net_23)),
_xlpm.NetHeader, _xlfn.HSTACK("Amount", "Present value", "Annualized value"),
_xlpm.SBLYearHeader, _xlfn.HSTACK("Impact", YrsHdr_D),
_xlpm.IN_Undiscounted,
     _xlfn.HSTACK("Undiscounted",
     IFERROR(IF(_xlpm.Yr_hdrD="Total", SUM(_xlpm.In_AnnualUndiscounted), IF(_xlpm.Yr_hdrD="Annualized", "N/A", _xlpm.In_AnnualUndiscounted)), "N/A")),
_xlpm.IN_Discounted,
     _xlfn.HSTACK("Discounted",
     IF(_xlpm.Yr_hdrD="Total", SUM(_xlpm.In_AnnualDiscounted), IF(_xlpm.Yr_hdrD="Annualized", SUM(_xlpm.In_AnnualDiscounted)*AF, _xlpm.In_AnnualDiscounted))),
_xlpm.OUT_Undiscounted,
     _xlfn.HSTACK("Undiscounted",
     IFERROR(IF(_xlpm.Yr_hdrD="Total", SUM(_xlpm.Out_AnnualUndiscounted), IF(_xlpm.Yr_hdrD="Annualized", "N/A", _xlpm.Out_AnnualUndiscounted)), "N/A")),
_xlpm.OUT_Discounted,
     _xlfn.HSTACK("Discounted",
     IF(_xlpm.Yr_hdrD="Total", SUM(_xlpm.Out_AnnualDiscounted), IF(_xlpm.Yr_hdrD="Annualized", SUM(_xlpm.Out_AnnualDiscounted)*AF, _xlpm.Out_AnnualDiscounted))),
_xlpm.NET_Undiscounted,
     _xlfn.HSTACK("Undiscounted",
     IFERROR(IF(_xlpm.Yr_hdrD="Total", SUM(_xlpm.Net_AnnualUndiscounted), IF(_xlpm.Yr_hdrD="Annualized", "N/A", _xlpm.Net_AnnualUndiscounted)), "N/A")),
_xlpm.NET_Discounted,
     _xlfn.HSTACK("Discounted",
     IF(_xlpm.Yr_hdrD="Total", SUM(_xlpm.Net_AnnualDiscounted), IF(_xlpm.Yr_hdrD="Annualized", SUM(_xlpm.Net_AnnualDiscounted)*AF, _xlpm.Net_AnnualDiscounted))),
_xlpm.IN, _xlfn.VSTACK("Costs"&amp;_xlpm.Magnitude_text, _xlpm.SBLYearHeader, _xlpm.IN_Discounted, _xlpm.IN_Undiscounted),
_xlpm.OUT, _xlfn.VSTACK("Benefits"&amp;_xlpm.Magnitude_text, _xlpm.SBLYearHeader, _xlpm.OUT_Discounted, _xlpm.OUT_Undiscounted),
_xlpm.NET, _xlfn.VSTACK("NET"&amp;_xlpm.Magnitude_text, _xlpm.SBLYearHeader, _xlpm.NET_Discounted, _xlpm.NET_Undiscounted),
IFERROR(_xlfn.VSTACK(_xlpm.tbl_SBLBenefits, "", "", _xlpm.tbl_SBLCosts, "", "", "Net Impacts"&amp;_xlpm.Magnitude_text, _xlpm.NetHeader, _xlpm.tbl_SBLNet, "", "", "", _xlpm.IN, "", _xlpm.OUT, "", _xlpm.NET),"")))</f>
        <v/>
      </c>
    </row>
    <row r="21" spans="2:2" ht="24" customHeight="1" x14ac:dyDescent="0.3"/>
    <row r="22" spans="2:2" ht="24" customHeight="1" x14ac:dyDescent="0.3"/>
    <row r="23" spans="2:2" ht="24" customHeight="1" x14ac:dyDescent="0.3"/>
    <row r="24" spans="2:2" ht="24" customHeight="1" x14ac:dyDescent="0.3"/>
    <row r="25" spans="2:2" ht="24" customHeight="1" x14ac:dyDescent="0.3"/>
    <row r="26" spans="2:2" ht="24" customHeight="1" x14ac:dyDescent="0.3"/>
    <row r="27" spans="2:2" ht="24" customHeight="1" x14ac:dyDescent="0.3"/>
    <row r="28" spans="2:2" ht="24" customHeight="1" x14ac:dyDescent="0.3"/>
    <row r="29" spans="2:2" ht="24" customHeight="1" x14ac:dyDescent="0.3"/>
    <row r="30" spans="2:2" ht="24" customHeight="1" x14ac:dyDescent="0.3"/>
    <row r="31" spans="2:2" ht="24" customHeight="1" x14ac:dyDescent="0.3"/>
    <row r="32" spans="2:2" ht="24" customHeight="1" x14ac:dyDescent="0.3"/>
    <row r="33" ht="24" customHeight="1" x14ac:dyDescent="0.3"/>
    <row r="34" ht="24" customHeight="1" x14ac:dyDescent="0.3"/>
    <row r="35" ht="24" customHeight="1" x14ac:dyDescent="0.3"/>
    <row r="36" ht="24" customHeight="1" x14ac:dyDescent="0.3"/>
    <row r="37" ht="24" customHeight="1" x14ac:dyDescent="0.3"/>
    <row r="38" ht="24" customHeight="1" x14ac:dyDescent="0.3"/>
    <row r="39" ht="24" customHeight="1" x14ac:dyDescent="0.3"/>
    <row r="40" ht="24" customHeight="1" x14ac:dyDescent="0.3"/>
    <row r="41" ht="24" customHeight="1" x14ac:dyDescent="0.3"/>
    <row r="42" ht="24" customHeight="1" x14ac:dyDescent="0.3"/>
    <row r="43" ht="24" customHeight="1" x14ac:dyDescent="0.3"/>
    <row r="44" ht="24" customHeight="1" x14ac:dyDescent="0.3"/>
    <row r="45" ht="24" customHeight="1" x14ac:dyDescent="0.3"/>
    <row r="46" ht="24" customHeight="1" x14ac:dyDescent="0.3"/>
    <row r="47" ht="24" customHeight="1" x14ac:dyDescent="0.3"/>
    <row r="48" ht="24" customHeight="1" x14ac:dyDescent="0.3"/>
    <row r="49" ht="24" customHeight="1" x14ac:dyDescent="0.3"/>
    <row r="50" ht="24" customHeight="1" x14ac:dyDescent="0.3"/>
    <row r="51" ht="24" customHeight="1" x14ac:dyDescent="0.3"/>
    <row r="52" ht="24" customHeight="1" x14ac:dyDescent="0.3"/>
    <row r="53" ht="24" customHeight="1" x14ac:dyDescent="0.3"/>
    <row r="54" ht="24" customHeight="1" x14ac:dyDescent="0.3"/>
    <row r="55" ht="24" customHeight="1" x14ac:dyDescent="0.3"/>
    <row r="56" ht="24" customHeight="1" x14ac:dyDescent="0.3"/>
    <row r="57" ht="24" customHeight="1" x14ac:dyDescent="0.3"/>
    <row r="58" ht="24" customHeight="1" x14ac:dyDescent="0.3"/>
    <row r="59" ht="24" customHeight="1" x14ac:dyDescent="0.3"/>
    <row r="60" ht="24" customHeight="1" x14ac:dyDescent="0.3"/>
    <row r="61" ht="24" customHeight="1" x14ac:dyDescent="0.3"/>
    <row r="62" ht="24" customHeight="1" x14ac:dyDescent="0.3"/>
    <row r="63" ht="24" customHeight="1" x14ac:dyDescent="0.3"/>
    <row r="64" ht="24" customHeight="1" x14ac:dyDescent="0.3"/>
    <row r="65" ht="24" customHeight="1" x14ac:dyDescent="0.3"/>
    <row r="66" ht="24" customHeight="1" x14ac:dyDescent="0.3"/>
    <row r="67" ht="24" customHeight="1" x14ac:dyDescent="0.3"/>
    <row r="68" ht="24" customHeight="1" x14ac:dyDescent="0.3"/>
    <row r="69" ht="24" customHeight="1" x14ac:dyDescent="0.3"/>
    <row r="70" ht="24" customHeight="1" x14ac:dyDescent="0.3"/>
    <row r="71" ht="24" customHeight="1" x14ac:dyDescent="0.3"/>
    <row r="72" ht="24" customHeight="1" x14ac:dyDescent="0.3"/>
    <row r="73" ht="24" customHeight="1" x14ac:dyDescent="0.3"/>
    <row r="74" ht="24" customHeight="1" x14ac:dyDescent="0.3"/>
    <row r="75" ht="24" customHeight="1" x14ac:dyDescent="0.3"/>
    <row r="76" ht="24" customHeight="1" x14ac:dyDescent="0.3"/>
    <row r="77" ht="24" customHeight="1" x14ac:dyDescent="0.3"/>
    <row r="78" ht="24" customHeight="1" x14ac:dyDescent="0.3"/>
    <row r="79" ht="24" customHeight="1" x14ac:dyDescent="0.3"/>
    <row r="80" ht="24" customHeight="1" x14ac:dyDescent="0.3"/>
    <row r="81" ht="24" customHeight="1" x14ac:dyDescent="0.3"/>
    <row r="82" ht="24" customHeight="1" x14ac:dyDescent="0.3"/>
    <row r="83" ht="24" customHeight="1" x14ac:dyDescent="0.3"/>
    <row r="84" ht="24" customHeight="1" x14ac:dyDescent="0.3"/>
    <row r="85" ht="24" customHeight="1" x14ac:dyDescent="0.3"/>
    <row r="86" ht="24" customHeight="1" x14ac:dyDescent="0.3"/>
    <row r="87" ht="24" customHeight="1" x14ac:dyDescent="0.3"/>
    <row r="88" ht="24" customHeight="1" x14ac:dyDescent="0.3"/>
    <row r="89" ht="24" customHeight="1" x14ac:dyDescent="0.3"/>
    <row r="90" ht="24" customHeight="1" x14ac:dyDescent="0.3"/>
    <row r="91" ht="24" customHeight="1" x14ac:dyDescent="0.3"/>
    <row r="92" ht="24" customHeight="1" x14ac:dyDescent="0.3"/>
    <row r="93" ht="24" customHeight="1" x14ac:dyDescent="0.3"/>
    <row r="94" ht="24" customHeight="1" x14ac:dyDescent="0.3"/>
    <row r="95" ht="24" customHeight="1" x14ac:dyDescent="0.3"/>
    <row r="96" ht="24" customHeight="1" x14ac:dyDescent="0.3"/>
    <row r="97" ht="24" customHeight="1" x14ac:dyDescent="0.3"/>
    <row r="98" ht="24" customHeight="1" x14ac:dyDescent="0.3"/>
    <row r="99" ht="24" customHeight="1" x14ac:dyDescent="0.3"/>
    <row r="100" ht="24" customHeight="1" x14ac:dyDescent="0.3"/>
  </sheetData>
  <mergeCells count="2">
    <mergeCell ref="D10:D11"/>
    <mergeCell ref="D5:D9"/>
  </mergeCells>
  <conditionalFormatting sqref="B15">
    <cfRule type="notContainsBlanks" dxfId="41" priority="1">
      <formula>LEN(TRIM(B15))&gt;0</formula>
    </cfRule>
  </conditionalFormatting>
  <conditionalFormatting sqref="B16:E402">
    <cfRule type="expression" dxfId="40" priority="2">
      <formula>$B15="Administrative or Compliance"</formula>
    </cfRule>
    <cfRule type="expression" dxfId="39" priority="4">
      <formula>$B16="Total"</formula>
    </cfRule>
    <cfRule type="expression" dxfId="38" priority="5">
      <formula>$B16="Amount"</formula>
    </cfRule>
    <cfRule type="expression" dxfId="37" priority="6">
      <formula>$B16="Administrative or Compliance"</formula>
    </cfRule>
    <cfRule type="expression" dxfId="36" priority="11">
      <formula>OR($B16="Net Impacts", $B16="Net Impacts ($ millions)", $B16="Net Impacts ($ billions)")</formula>
    </cfRule>
    <cfRule type="expression" dxfId="35" priority="12">
      <formula>OR($B16="Costs", $B16="Costs ($ millions)", $B16="Costs ($ billions)")</formula>
    </cfRule>
    <cfRule type="expression" dxfId="34" priority="13">
      <formula>OR($B16="Benefits", $B16="Benefits ($ millions)", $B16="Benefits ($ billions)")</formula>
    </cfRule>
  </conditionalFormatting>
  <conditionalFormatting sqref="B16:CY402">
    <cfRule type="expression" dxfId="33" priority="3">
      <formula>$B16="Impact"</formula>
    </cfRule>
    <cfRule type="expression" dxfId="32" priority="8">
      <formula>OR($B16="NET", $B16="Net ($ millions)", $B16="Net ($ billions)")</formula>
    </cfRule>
    <cfRule type="notContainsBlanks" dxfId="31" priority="14">
      <formula>LEN(TRIM(B16))&gt;0</formula>
    </cfRule>
  </conditionalFormatting>
  <dataValidations xWindow="721" yWindow="383" count="2">
    <dataValidation type="list" allowBlank="1" showInputMessage="1" showErrorMessage="1" sqref="C10" xr:uid="{55570B72-1F02-48A0-9DA8-9AC9DA757705}">
      <formula1>"Single, Millions, Billions"</formula1>
    </dataValidation>
    <dataValidation type="list" allowBlank="1" showInputMessage="1" showErrorMessage="1" prompt="Default lists activities by the way in which they appear on the Activities sheet." sqref="C11" xr:uid="{BF41C7AB-EE6D-45D8-9E6E-C7B40007AA9B}">
      <formula1>"Default, Total Impact (↑), Total Impact (↓), Administrative then Compliance, Compliance then Administrative, Activity (↑az), Activity (↓za)"</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8B215-611E-43FB-9807-22F379ADE7E5}">
  <sheetPr>
    <tabColor rgb="FFFFFF00"/>
    <pageSetUpPr autoPageBreaks="0"/>
  </sheetPr>
  <dimension ref="B1:N19"/>
  <sheetViews>
    <sheetView showGridLines="0" zoomScale="80" zoomScaleNormal="80" workbookViewId="0">
      <selection activeCell="C10" sqref="C10"/>
    </sheetView>
  </sheetViews>
  <sheetFormatPr defaultColWidth="23" defaultRowHeight="11.4" x14ac:dyDescent="0.3"/>
  <cols>
    <col min="1" max="1" width="6.33203125" style="151" customWidth="1"/>
    <col min="2" max="2" width="47.109375" style="152" customWidth="1"/>
    <col min="3" max="16384" width="23" style="151"/>
  </cols>
  <sheetData>
    <row r="1" spans="2:14" ht="15" customHeight="1" x14ac:dyDescent="0.3"/>
    <row r="2" spans="2:14" ht="15" customHeight="1" x14ac:dyDescent="0.3">
      <c r="B2" s="153" t="s">
        <v>299</v>
      </c>
      <c r="C2" s="180"/>
      <c r="D2" s="180"/>
    </row>
    <row r="3" spans="2:14" ht="15" customHeight="1" x14ac:dyDescent="0.3">
      <c r="B3" s="154"/>
      <c r="C3" s="180"/>
      <c r="D3" s="180"/>
    </row>
    <row r="4" spans="2:14" ht="15" customHeight="1" x14ac:dyDescent="0.3">
      <c r="B4" s="154"/>
      <c r="C4" s="180"/>
      <c r="D4" s="180"/>
      <c r="F4" s="151" t="str" cm="1">
        <f t="array" ref="F4:F5">B</f>
        <v/>
      </c>
    </row>
    <row r="5" spans="2:14" ht="15" customHeight="1" x14ac:dyDescent="0.3">
      <c r="B5" s="270" t="s">
        <v>120</v>
      </c>
      <c r="C5" s="269" t="s">
        <v>121</v>
      </c>
      <c r="D5" s="267" t="s">
        <v>122</v>
      </c>
      <c r="F5" s="151" t="str">
        <v/>
      </c>
    </row>
    <row r="6" spans="2:14" ht="15" customHeight="1" x14ac:dyDescent="0.3">
      <c r="B6" s="184" t="s">
        <v>312</v>
      </c>
      <c r="C6" s="271" t="str">
        <f>Time&amp;" ("&amp;YearOfRegistration&amp;" to "&amp;YearOfRegistration+Time-1&amp;")"</f>
        <v>10 (2025 to 2034)</v>
      </c>
      <c r="D6" s="284" t="s">
        <v>124</v>
      </c>
    </row>
    <row r="7" spans="2:14" ht="15" customHeight="1" x14ac:dyDescent="0.3">
      <c r="B7" s="188" t="s">
        <v>105</v>
      </c>
      <c r="C7" s="188">
        <f>PriceYear</f>
        <v>2024</v>
      </c>
      <c r="D7" s="285"/>
    </row>
    <row r="8" spans="2:14" ht="15" customHeight="1" x14ac:dyDescent="0.3">
      <c r="B8" s="188" t="s">
        <v>313</v>
      </c>
      <c r="C8" s="188">
        <f>PVBaseYear</f>
        <v>2025</v>
      </c>
      <c r="D8" s="285"/>
    </row>
    <row r="9" spans="2:14" ht="15" customHeight="1" x14ac:dyDescent="0.3">
      <c r="B9" s="185" t="s">
        <v>106</v>
      </c>
      <c r="C9" s="268">
        <f>Discount</f>
        <v>7.0000000000000007E-2</v>
      </c>
      <c r="D9" s="286"/>
      <c r="N9" s="209"/>
    </row>
    <row r="10" spans="2:14" ht="15" customHeight="1" x14ac:dyDescent="0.3">
      <c r="B10" s="205" t="s">
        <v>302</v>
      </c>
      <c r="C10" s="207" t="s">
        <v>309</v>
      </c>
      <c r="D10" s="287" t="s">
        <v>129</v>
      </c>
    </row>
    <row r="11" spans="2:14" ht="15" customHeight="1" x14ac:dyDescent="0.3">
      <c r="B11" s="205" t="s">
        <v>127</v>
      </c>
      <c r="C11" s="203" t="s">
        <v>128</v>
      </c>
      <c r="D11" s="287"/>
    </row>
    <row r="12" spans="2:14" ht="15" customHeight="1" x14ac:dyDescent="0.3">
      <c r="B12" s="205" t="s">
        <v>130</v>
      </c>
      <c r="C12" s="203" t="s">
        <v>303</v>
      </c>
      <c r="D12" s="287"/>
    </row>
    <row r="13" spans="2:14" ht="15" customHeight="1" x14ac:dyDescent="0.3">
      <c r="B13" s="205" t="s">
        <v>125</v>
      </c>
      <c r="C13" s="203" t="s">
        <v>126</v>
      </c>
      <c r="D13" s="287"/>
    </row>
    <row r="14" spans="2:14" ht="15" customHeight="1" x14ac:dyDescent="0.3">
      <c r="B14" s="206" t="s">
        <v>131</v>
      </c>
      <c r="C14" s="204" t="s">
        <v>308</v>
      </c>
      <c r="D14" s="283"/>
    </row>
    <row r="15" spans="2:14" ht="15" customHeight="1" x14ac:dyDescent="0.3">
      <c r="B15" s="155"/>
      <c r="C15" s="180"/>
      <c r="D15" s="180"/>
    </row>
    <row r="16" spans="2:14" ht="15" customHeight="1" x14ac:dyDescent="0.3">
      <c r="B16" s="156" t="s">
        <v>132</v>
      </c>
      <c r="C16" s="180"/>
      <c r="D16" s="180"/>
    </row>
    <row r="17" spans="2:2" ht="15" customHeight="1" x14ac:dyDescent="0.3">
      <c r="B17" s="155" t="str" cm="1">
        <f t="array" ref="B17">IF(NoErrors, "", IF(OneError, "There is an unresolved error on the Activities sheet.", "There are unresolved errors on the Activities sheet."))</f>
        <v/>
      </c>
    </row>
    <row r="19" spans="2:2" x14ac:dyDescent="0.3">
      <c r="B19" s="152" t="str" cm="1">
        <f t="array" ref="B19">_xlfn.LET(
_xlpm.Sep, ", ",
_xlpm.s, MATCH($C$11, BreakdownList, 0),
_xlpm.TT, IF(bas, {"Total","Total"}, "Total"),
_xlpm.T, Time+2+IF(bas, 1),
_xlpm.fi, _xlfn.UNIQUE(_xlfn.CHOOSECOLS(IN_AS, IF(ba, 2, IF(bs, 1, {1,2})))),
_xlpm.fo, _xlfn.UNIQUE(_xlfn.CHOOSECOLS(OUT_AS, IF(ba, 2, IF(bs, 1, {1,2})))),
_xlpm.fn, _xlfn.UNIQUE(_xlfn.CHOOSECOLS(NET_AS, IF(ba, 2, IF(bs, 1, {1,2})))),
_xlpm.gbd, $C$12="Discounting",
_xlpm.IN_D,
     IF(ez, ACD,
     _xlfn.LET(_xlpm.x, _xlfn.MAKEARRAY(ROWS(_xlpm.fi), Time, _xlfn.LAMBDA(_xlpm.r,_xlpm.c,
     -SUMIFS(IF(ba, L_DIAS, INDEX(DIBS,, IF(bs, _xlpm.r, MATCH(INDEX(IN_AS, _xlpm.r, 1), Groups, 0)))), L_A, IF(bs, "&lt;&gt;""", IF(ba, INDEX(L_UC, _xlpm.r), INDEX(IN_AS, _xlpm.r, 2))), L_IO, "Cost", L_Yrs, INDEX(Yrs, ,_xlpm.c))*M)),
     _xlpm.y, _xlfn.BYROW(_xlpm.x, _xlfn.LAMBDA(_xlpm.a, SUM(_xlpm.a))),
     _xlpm.z, _xlfn.HSTACK(_xlpm.x, _xlpm.y, _xlpm.y*AF),
     _xlpm.e, _xlfn.HSTACK(_xlpm.fi, _xlpm.z),
     _xlpm.f, IF(_xlpm.s=1, _xlpm.e, _xlfn._xlws.SORT(_xlpm.e, IF(_xlpm.s&lt;4, _xlpm.T, IF(bas, IF(_xlpm.s&lt;6, 1, 2), 1)), IF(ISEVEN(_xlpm.s), 1, -1))),
     _xlpm.g, _xlfn.DROP(_xlfn.VSTACK(id, hd, _xlpm.f, _xlfn.HSTACK(_xlpm.TT, _xlfn.BYCOL(_xlpm.z, _xlfn.LAMBDA(_xlpm.b, SUM(_xlpm.b)))), ""), IF(L, 0, 1)),
     IF(L, _xlpm.g, _xlfn.VSTACK(id, _xlfn.HSTACK("Year", TRANSPOSE(INDEX(_xlpm.f,, 1)&amp; IF(bas, _xlpm.Sep &amp;INDEX(_xlpm.f,, 2), "")), "Total"), _xlfn.DROP(TRANSPOSE(_xlpm.g), IF(bas, 2, 1)), "")))),
_xlpm.IN_U,
     IF(ez, _xlfn.DROP(ACU,, IF(_xlpm.gbd,-1)),
     _xlfn.LET(_xlpm.x, _xlfn.MAKEARRAY(ROWS(_xlpm.fi), Time, _xlfn.LAMBDA(_xlpm.r,_xlpm.c,
     -SUMIFS(IF(ba, L_UIAS, INDEX(UIBS,, IF(bs, _xlpm.r, MATCH(INDEX(IN_AS, _xlpm.r, 1), Groups, 0)))), L_A, IF(bs, "&lt;&gt;""", IF(ba, INDEX(L_UC, _xlpm.r), INDEX(IN_AS, _xlpm.r, 2))), L_IO, "Cost", L_Yrs, INDEX(Yrs, ,_xlpm.c))*M)),
     _xlpm.y, _xlfn.BYROW(_xlpm.x, _xlfn.LAMBDA(_xlpm.a, SUM(_xlpm.a))),
     _xlpm.z, _xlfn.HSTACK(_xlpm.x, _xlpm.y),
     _xlpm.e, _xlfn.HSTACK(_xlpm.fi, _xlpm.z),
     _xlpm.f, IF(_xlpm.s=1, _xlpm.e, _xlfn._xlws.SORT(_xlpm.e, IF(_xlpm.s&lt;4, _xlpm.T, IF(bas, IF(_xlpm.s&lt;6, 1, 2), 1)), IF(ISEVEN(_xlpm.s), 1, -1))),
     _xlpm.g, _xlfn.DROP(_xlfn.VSTACK(iu, hu, _xlpm.f, _xlfn.HSTACK(_xlpm.TT, _xlfn.BYCOL(_xlpm.z, _xlfn.LAMBDA(_xlpm.b, SUM(_xlpm.b)))), ""), IF(L, 0, 1)),
     IF(L, _xlpm.g, _xlfn.VSTACK(iu, _xlfn.HSTACK("Year", TRANSPOSE(INDEX(_xlpm.f,, 1)&amp; IF(bas, _xlpm.Sep &amp;INDEX(_xlpm.f,, 2), "")), "Total"), _xlfn.DROP(TRANSPOSE(_xlpm.g), IF(bas, 2, 1)), "")))),
_xlpm.OUT_D,
     IF(ez, ABD,
     _xlfn.LET(_xlpm.x, _xlfn.MAKEARRAY(ROWS(_xlpm.fo), Time, _xlfn.LAMBDA(_xlpm.r,_xlpm.c,
     SUMIFS(IF(ba, L_DIAS, INDEX(DIBS,, IF(bs, _xlpm.r, MATCH(INDEX(OUT_AS, _xlpm.r, 1), Groups, 0)))), L_A, IF(bs, "&lt;&gt;""", IF(ba, INDEX(L_UB, _xlpm.r), INDEX(OUT_AS, _xlpm.r, 2))), L_IO, "Benefit", L_Yrs, INDEX(Yrs, ,_xlpm.c))*M)),
     _xlpm.y, _xlfn.BYROW(_xlpm.x, _xlfn.LAMBDA(_xlpm.a, SUM(_xlpm.a))),
     _xlpm.z, _xlfn.HSTACK(_xlpm.x, _xlpm.y, _xlpm.y*AF),
     _xlpm.e, _xlfn.HSTACK(_xlpm.fo, _xlpm.z),
     _xlpm.f, IF(_xlpm.s=1, _xlpm.e, _xlfn._xlws.SORT(_xlpm.e, IF(_xlpm.s&lt;4, _xlpm.T, IF(bas, IF(_xlpm.s&lt;6, 1, 2), 1)), IF(ISEVEN(_xlpm.s), 1, -1))),
     _xlpm.g, _xlfn.DROP(_xlfn.VSTACK(od, hd, _xlpm.f, _xlfn.HSTACK(_xlpm.TT, _xlfn.BYCOL(_xlpm.z, _xlfn.LAMBDA(_xlpm.b, SUM(_xlpm.b)))), ""), IF(L, 0, 1)),
     IF(L, _xlpm.g,_xlfn.VSTACK(od, _xlfn.HSTACK("Year", TRANSPOSE(INDEX(_xlpm.f,, 1)&amp; IF(bas, _xlpm.Sep &amp;INDEX(_xlpm.f,, 2), "")), "Total"), _xlfn.DROP(TRANSPOSE(_xlpm.g), IF(bas, 2, 1)), "")))),
_xlpm.OUT_U,
     IF(ez, _xlfn.DROP(ABU,, IF(_xlpm.gbd, -1)),
     _xlfn.LET(_xlpm.x, _xlfn.MAKEARRAY(ROWS(_xlpm.fo), Time, _xlfn.LAMBDA(_xlpm.r,_xlpm.c,
     SUMIFS(IF(ba, L_UIAS, INDEX(UIBS,, IF(bs, _xlpm.r, MATCH(INDEX(OUT_AS, _xlpm.r, 1), Groups, 0)))), L_A, IF(bs, "&lt;&gt;""", IF(ba, INDEX(L_UB, _xlpm.r), INDEX(OUT_AS, _xlpm.r, 2))), L_IO, "Benefit", L_Yrs, INDEX(Yrs, ,_xlpm.c))*M)),
     _xlpm.y, _xlfn.BYROW(_xlpm.x, _xlfn.LAMBDA(_xlpm.a, SUM(_xlpm.a))),
     _xlpm.z, _xlfn.HSTACK(_xlpm.x, _xlpm.y),
     _xlpm.e, _xlfn.HSTACK(_xlpm.fo, _xlpm.z),
     _xlpm.f, IF(_xlpm.s=1, _xlpm.e, _xlfn._xlws.SORT(_xlpm.e, IF(_xlpm.s&lt;4, _xlpm.T, IF(bas, IF(_xlpm.s&lt;6, 1, 2), 1)), IF(ISEVEN(_xlpm.s), 1, -1))),
     _xlpm.g, _xlfn.DROP(_xlfn.VSTACK(ou, hu, _xlpm.f, _xlfn.HSTACK(_xlpm.TT, _xlfn.BYCOL(_xlpm.z, _xlfn.LAMBDA(_xlpm.b, SUM(_xlpm.b)))), ""), IF(L, 0, 1)),
     IF(L, _xlpm.g, _xlfn.VSTACK(ou, _xlfn.HSTACK("Year", TRANSPOSE(INDEX(_xlpm.f,, 1)&amp; IF(bas, _xlpm.Sep &amp;INDEX(_xlpm.f,, 2), "")), "Total"), _xlfn.DROP(TRANSPOSE(_xlpm.g), 2), "")))),
_xlpm.NET_D,
     IF(ez, AND,
     _xlfn.LET(_xlpm.x, _xlfn.MAKEARRAY(ROWS(_xlpm.fn), Time, _xlfn.LAMBDA(_xlpm.r,_xlpm.c,
     SUMIFS(IF(ba, L_DIAS, INDEX(DIBS,, IF(bs, _xlpm.r, MATCH(INDEX(NET_AS, _xlpm.r, 1), Groups, 0)))), L_A, IF(bs, "&lt;&gt;""", IF(ba, INDEX(L_UA, _xlpm.r), INDEX(NET_AS, _xlpm.r, 2))), L_Yrs, INDEX(Yrs, ,_xlpm.c))*M)),
     _xlpm.y, _xlfn.BYROW(_xlpm.x, _xlfn.LAMBDA(_xlpm.a, SUM(_xlpm.a))),
     _xlpm.z, _xlfn.HSTACK(_xlpm.x, _xlpm.y, _xlpm.y*AF),
     _xlpm.e, _xlfn.HSTACK(_xlpm.fn, _xlpm.z),
     _xlpm.f, IF(_xlpm.s=1, _xlpm.e, _xlfn._xlws.SORT(_xlpm.e, IF(_xlpm.s&lt;4, _xlpm.T, IF(bas, IF(_xlpm.s&lt;6, 1, 2), 1)), IF(ISEVEN(_xlpm.s), 1, -1))),
     _xlpm.g, _xlfn.DROP(_xlfn.VSTACK(nd, hd, _xlpm.f, _xlfn.HSTACK(_xlpm.TT, _xlfn.BYCOL(_xlpm.z, _xlfn.LAMBDA(_xlpm.b, SUM(_xlpm.b)))), ""), IF(L, 0, 1)),
     IF(L, _xlpm.g, _xlfn.VSTACK(nd, _xlfn.HSTACK("Year", TRANSPOSE(INDEX(_xlpm.f,, 1)&amp; IF(bas, _xlpm.Sep &amp;INDEX(_xlpm.f,, 2), "")), "Total"), _xlfn.DROP(TRANSPOSE(_xlpm.g), 2), "")))),
_xlpm.NET_U,
     IF(ez, _xlfn.DROP(ANU,,IF(_xlpm.gbd,-1)),
     _xlfn.LET(_xlpm.x, _xlfn.MAKEARRAY(ROWS(_xlpm.fn), Time, _xlfn.LAMBDA(_xlpm.r,_xlpm.c,
     SUMIFS(IF(ba, L_UIAS, INDEX(UIBS,, IF(bs, _xlpm.r, MATCH(INDEX(NET_AS, _xlpm.r, 1), Groups, 0)))), L_A, IF(bs, "&lt;&gt;""", IF(ba, INDEX(L_UA, _xlpm.r), INDEX(NET_AS, _xlpm.r, 2))), L_Yrs, INDEX(Yrs, ,_xlpm.c))*M)),
     _xlpm.y, _xlfn.BYROW(_xlpm.x, _xlfn.LAMBDA(_xlpm.a, SUM(_xlpm.a))),
     _xlpm.z, _xlfn.HSTACK(_xlpm.x, _xlpm.y),
     _xlpm.e, _xlfn.HSTACK(_xlpm.fn, _xlpm.z),
     _xlpm.f, IF(_xlpm.s=1, _xlpm.e, _xlfn._xlws.SORT(_xlpm.e, IF(_xlpm.s&lt;4, _xlpm.T, IF(bas, IF(_xlpm.s&lt;6, 1, 2), 1)), IF(ISEVEN(_xlpm.s), 1, -1))),
     _xlpm.g, _xlfn.DROP(_xlfn.VSTACK(nu, hu, _xlpm.f, _xlfn.HSTACK(_xlpm.TT, _xlfn.BYCOL(_xlpm.z, _xlfn.LAMBDA(_xlpm.b, SUM(_xlpm.b)))), ""), IF(L, 0, 1)),
     IF(L, _xlpm.g, _xlfn.VSTACK(nu, _xlfn.HSTACK("Year", TRANSPOSE(INDEX(_xlpm.f,, 1)&amp; IF(bas, _xlpm.Sep &amp;INDEX(_xlpm.f,, 2), "")), "Total"), _xlfn.DROP(TRANSPOSE(_xlpm.g), 2), "")))),
_xlpm.o_1, IF(NoIn, _xlpm.OUT_D, _xlpm.IN_D),
_xlpm.o_2, IF(NoIn, _xlpm.OUT_U, _xlpm.IN_U),
_xlpm.o_3, IF(OneType, _xlpm.NET_D, _xlpm.OUT_D),
_xlpm.o_4, IF(OneType, _xlpm.NET_U, _xlpm.OUT_U),
_xlpm.o_5, IF(OneType, "", _xlpm.NET_D),
_xlpm.o_6, IF(OneType, "", _xlpm.NET_U),
_xlpm.q, _xlfn.LET(_xlpm.h, _xlfn.DROP(_xlfn.VSTACK(dmt, ww, _xlpm.o_1, _xlpm.o_3, _xlpm.o_5), IF(ez, 0, 2)), IF(ez, IF(L, _xlpm.h, _xlfn.VSTACK(dmt, _xlfn.DROP(TRANSPOSE(_xlpm.h),,1))), _xlpm.h)),
_xlpm.v, _xlfn.LET(_xlpm.h, _xlfn.DROP(_xlfn.VSTACK(umt, _xlfn.HSTACK(IF(L, "Impact", "Year"), Yrs, "Total"), _xlpm.o_2, _xlpm.o_4, _xlpm.o_6), IF(ez, 0, 2)), IF(ez, IF(L, _xlpm.h, _xlfn.VSTACK(umt, _xlfn.DROP(TRANSPOSE(_xlpm.h),,1))), _xlpm.h)),
_xlpm.j, _xlfn.LET(_xlpm.h, _xlfn.DROP(_xlfn.VSTACK(IF(NoIn, omt, imt), ww, _xlpm.o_1, _xlpm.o_2), IF(ez, 0, 2)), IF(ez, IF(L, _xlpm.h, _xlfn.VSTACK(IF(NoIn, omt, imt), _xlfn.DROP(TRANSPOSE(_xlpm.h),,1))), _xlpm.h)),
_xlpm.k, _xlfn.LET(_xlpm.h, _xlfn.DROP(_xlfn.VSTACK(IF(OneType, nmt, omt), ww, _xlpm.o_3, _xlpm.o_4), IF(ez, 0, 2)), IF(ez, IF(L, _xlpm.h, _xlfn.VSTACK(IF(OneType, nmt, omt), _xlfn.DROP(TRANSPOSE(_xlpm.h),,1))), _xlpm.h)),
_xlpm.d, IF(OneType, "", _xlfn.LET(_xlpm.h, _xlfn.DROP(_xlfn.VSTACK(nmt, ww, _xlpm.o_5, _xlpm.o_6), IF(ez, 0, 2)), IF(ez, IF(L, _xlpm.h, _xlfn.VSTACK(nmt, _xlfn.DROP(TRANSPOSE(_xlpm.h),,1))), _xlpm.h))),
_xlpm.g, IFERROR(IF(_xlpm.gbd, _xlfn.VSTACK(_xlpm.q,_xlfn.DROP(B, IF(OneType, 1, 0)), _xlpm.v),  _xlfn.VSTACK(_xlpm.j, B, _xlpm.k, B, _xlpm.d)), ""), _xlpm.g)</f>
        <v/>
      </c>
    </row>
  </sheetData>
  <mergeCells count="2">
    <mergeCell ref="D6:D9"/>
    <mergeCell ref="D10:D14"/>
  </mergeCells>
  <conditionalFormatting sqref="B17">
    <cfRule type="notContainsBlanks" dxfId="30" priority="18">
      <formula>LEN(TRIM(B17))&gt;0</formula>
    </cfRule>
  </conditionalFormatting>
  <conditionalFormatting sqref="B19:CZ502">
    <cfRule type="expression" dxfId="29" priority="5">
      <formula>AND(LEFT($B19, 12)="Undiscounted", $C19="")</formula>
    </cfRule>
    <cfRule type="expression" dxfId="28" priority="6">
      <formula>AND(LEFT($B19, 10)="Discounted", $C19="")</formula>
    </cfRule>
    <cfRule type="expression" dxfId="27" priority="7">
      <formula>AND(LEFT($B19, 3)="Net", $C19="")</formula>
    </cfRule>
    <cfRule type="expression" dxfId="26" priority="8">
      <formula>AND(LEFT($B19, 8)="Benefits", $C19="")</formula>
    </cfRule>
    <cfRule type="expression" dxfId="25" priority="9">
      <formula>AND(LEFT($B19, 5)="Costs", $C19="")</formula>
    </cfRule>
    <cfRule type="expression" dxfId="24" priority="10">
      <formula>$B19="Year"</formula>
    </cfRule>
    <cfRule type="expression" dxfId="23" priority="11">
      <formula>$B19="Impact"</formula>
    </cfRule>
    <cfRule type="containsText" dxfId="22" priority="12" operator="containsText" text="Net, Undiscounted">
      <formula>NOT(ISERROR(SEARCH("Net, Undiscounted",B19)))</formula>
    </cfRule>
    <cfRule type="containsText" dxfId="21" priority="13" operator="containsText" text="Net, Discounted">
      <formula>NOT(ISERROR(SEARCH("Net, Discounted",B19)))</formula>
    </cfRule>
    <cfRule type="containsText" dxfId="20" priority="14" operator="containsText" text="Out, Undiscounted">
      <formula>NOT(ISERROR(SEARCH("Out, Undiscounted",B19)))</formula>
    </cfRule>
    <cfRule type="containsText" dxfId="19" priority="15" operator="containsText" text="Out, Discounted">
      <formula>NOT(ISERROR(SEARCH("Out, Discounted",B19)))</formula>
    </cfRule>
    <cfRule type="containsText" dxfId="18" priority="16" operator="containsText" text="In, Discounted">
      <formula>NOT(ISERROR(SEARCH("In, Discounted",B19)))</formula>
    </cfRule>
    <cfRule type="expression" dxfId="17" priority="17">
      <formula>$B19="Activity"</formula>
    </cfRule>
    <cfRule type="containsText" dxfId="16" priority="19" operator="containsText" text="In, Undiscounted">
      <formula>NOT(ISERROR(SEARCH("In, Undiscounted",B19)))</formula>
    </cfRule>
    <cfRule type="notContainsBlanks" dxfId="15" priority="20">
      <formula>LEN(TRIM(B19))&gt;0</formula>
    </cfRule>
    <cfRule type="expression" dxfId="14" priority="21">
      <formula>$B19="Stakeholder Group"</formula>
    </cfRule>
    <cfRule type="expression" dxfId="13" priority="22">
      <formula>$B19="Total"</formula>
    </cfRule>
    <cfRule type="expression" dxfId="12" priority="24">
      <formula>$B19="Annualized"</formula>
    </cfRule>
  </conditionalFormatting>
  <conditionalFormatting sqref="C11">
    <cfRule type="expression" dxfId="11" priority="1">
      <formula>COUNTIFS($C$11, "Stakeholder Group*", $C$10, "By Activity")</formula>
    </cfRule>
    <cfRule type="expression" dxfId="10" priority="2">
      <formula>COUNTIFS($C$11, "Activity*", $C$10, "By Stakeholder")</formula>
    </cfRule>
  </conditionalFormatting>
  <dataValidations count="5">
    <dataValidation type="list" allowBlank="1" showInputMessage="1" showErrorMessage="1" sqref="C14" xr:uid="{BA3BD3FB-9CA7-4E5C-94A5-FF73289E4475}">
      <formula1>"Columns, Rows"</formula1>
    </dataValidation>
    <dataValidation type="list" allowBlank="1" showInputMessage="1" showErrorMessage="1" sqref="C12" xr:uid="{98957110-5C6C-4BB3-9CAA-CBA7C1516AF5}">
      <formula1>"Discounting, Costs | Benefits | NET"</formula1>
    </dataValidation>
    <dataValidation type="list" allowBlank="1" showInputMessage="1" showErrorMessage="1" sqref="C13" xr:uid="{2AA025E1-0D5A-473D-A87E-731A22C9B58E}">
      <formula1>"Single, Millions, Billions"</formula1>
    </dataValidation>
    <dataValidation type="list" allowBlank="1" showInputMessage="1" showErrorMessage="1" sqref="C10 C12" xr:uid="{83BC5CD2-B92D-4A1A-839E-9EEAD9F40BED}">
      <formula1>"Simple, By Activity, By Stakeholder, By Activity &amp; Stakeholder"</formula1>
    </dataValidation>
    <dataValidation type="list" allowBlank="1" showInputMessage="1" showErrorMessage="1" prompt="&quot;Default&quot; reflects the order in which things are entered on the Activities and Stakeholders sheets, as applicable." sqref="C11" xr:uid="{9E236F94-DF03-40EC-8D43-7FE3F3E1705B}">
      <formula1>BreakdownList</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9D906EF-0021-4D43-A0F9-02113FDE7AB6}">
          <x14:formula1>
            <xm:f>_xlfn.ANCHORARRAY(Controls!$BU$2)</xm:f>
          </x14:formula1>
          <xm:sqref>C11:C12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33CD2-6271-49D7-AED7-EC26C992B82E}">
  <sheetPr codeName="Sheet17">
    <tabColor rgb="FFFFFF00"/>
  </sheetPr>
  <dimension ref="B1:U29"/>
  <sheetViews>
    <sheetView showGridLines="0" zoomScale="85" zoomScaleNormal="85" workbookViewId="0">
      <selection activeCell="C12" sqref="C12"/>
    </sheetView>
  </sheetViews>
  <sheetFormatPr defaultColWidth="9.109375" defaultRowHeight="11.4" x14ac:dyDescent="0.3"/>
  <cols>
    <col min="1" max="1" width="9.109375" style="158"/>
    <col min="2" max="2" width="44.44140625" style="157" customWidth="1"/>
    <col min="3" max="3" width="21.109375" style="158" customWidth="1"/>
    <col min="4" max="4" width="20" style="158" customWidth="1"/>
    <col min="5" max="5" width="20.33203125" style="158" customWidth="1"/>
    <col min="6" max="6" width="18.33203125" style="158" customWidth="1"/>
    <col min="7" max="7" width="16" style="158" customWidth="1"/>
    <col min="8" max="8" width="18.33203125" style="158" customWidth="1"/>
    <col min="9" max="9" width="14.88671875" style="158" customWidth="1"/>
    <col min="10" max="15" width="14.109375" style="158" customWidth="1"/>
    <col min="16" max="20" width="9.109375" style="158"/>
    <col min="21" max="21" width="13.88671875" style="158" bestFit="1" customWidth="1"/>
    <col min="22" max="16384" width="9.109375" style="158"/>
  </cols>
  <sheetData>
    <row r="1" spans="2:21" ht="15" customHeight="1" x14ac:dyDescent="0.3"/>
    <row r="2" spans="2:21" ht="15" customHeight="1" x14ac:dyDescent="0.3">
      <c r="B2" s="159" t="s">
        <v>134</v>
      </c>
      <c r="C2" s="160"/>
      <c r="D2" s="160"/>
    </row>
    <row r="3" spans="2:21" ht="15" customHeight="1" x14ac:dyDescent="0.3">
      <c r="B3" s="161"/>
      <c r="C3" s="160"/>
      <c r="D3" s="160"/>
    </row>
    <row r="4" spans="2:21" ht="15" customHeight="1" x14ac:dyDescent="0.3">
      <c r="B4" s="161"/>
      <c r="C4" s="160"/>
      <c r="D4" s="160"/>
    </row>
    <row r="5" spans="2:21" ht="15" customHeight="1" x14ac:dyDescent="0.3">
      <c r="B5" s="162" t="s">
        <v>120</v>
      </c>
      <c r="C5" s="163" t="s">
        <v>121</v>
      </c>
      <c r="D5" s="164" t="s">
        <v>122</v>
      </c>
    </row>
    <row r="6" spans="2:21" ht="15" customHeight="1" x14ac:dyDescent="0.3">
      <c r="B6" s="165" t="s">
        <v>312</v>
      </c>
      <c r="C6" s="166" t="str">
        <f>Time&amp;" ("&amp;YearOfRegistration&amp;" to "&amp;YearOfRegistration+Time-1&amp;")"</f>
        <v>10 (2025 to 2034)</v>
      </c>
      <c r="D6" s="291" t="s">
        <v>124</v>
      </c>
    </row>
    <row r="7" spans="2:21" ht="15" customHeight="1" x14ac:dyDescent="0.3">
      <c r="B7" s="167" t="s">
        <v>105</v>
      </c>
      <c r="C7" s="178">
        <f>PriceYear</f>
        <v>2024</v>
      </c>
      <c r="D7" s="292"/>
    </row>
    <row r="8" spans="2:21" ht="15" customHeight="1" x14ac:dyDescent="0.3">
      <c r="B8" s="167" t="s">
        <v>313</v>
      </c>
      <c r="C8" s="178">
        <f>PVBaseYear</f>
        <v>2025</v>
      </c>
      <c r="D8" s="292"/>
    </row>
    <row r="9" spans="2:21" ht="15" customHeight="1" x14ac:dyDescent="0.3">
      <c r="B9" s="168" t="s">
        <v>106</v>
      </c>
      <c r="C9" s="179">
        <f>Discount</f>
        <v>7.0000000000000007E-2</v>
      </c>
      <c r="D9" s="293"/>
    </row>
    <row r="10" spans="2:21" ht="15" customHeight="1" x14ac:dyDescent="0.3">
      <c r="B10" s="169" t="s">
        <v>125</v>
      </c>
      <c r="C10" s="170" t="s">
        <v>126</v>
      </c>
      <c r="D10" s="294" t="s">
        <v>129</v>
      </c>
    </row>
    <row r="11" spans="2:21" ht="15" customHeight="1" x14ac:dyDescent="0.3">
      <c r="B11" s="169" t="s">
        <v>127</v>
      </c>
      <c r="C11" s="170" t="s">
        <v>128</v>
      </c>
      <c r="D11" s="295"/>
      <c r="U11" s="171"/>
    </row>
    <row r="12" spans="2:21" ht="15" customHeight="1" x14ac:dyDescent="0.3">
      <c r="B12" s="172" t="s">
        <v>135</v>
      </c>
      <c r="C12" s="196"/>
      <c r="D12" s="288" t="s">
        <v>136</v>
      </c>
    </row>
    <row r="13" spans="2:21" ht="15" customHeight="1" x14ac:dyDescent="0.3">
      <c r="B13" s="173" t="s">
        <v>137</v>
      </c>
      <c r="C13" s="197"/>
      <c r="D13" s="289"/>
    </row>
    <row r="14" spans="2:21" ht="15" customHeight="1" x14ac:dyDescent="0.3">
      <c r="B14" s="174" t="s">
        <v>138</v>
      </c>
      <c r="C14" s="198"/>
      <c r="D14" s="290"/>
      <c r="G14" s="158" t="s">
        <v>133</v>
      </c>
    </row>
    <row r="15" spans="2:21" ht="15" customHeight="1" x14ac:dyDescent="0.3">
      <c r="B15" s="175"/>
      <c r="C15" s="160"/>
      <c r="D15" s="160"/>
    </row>
    <row r="16" spans="2:21" ht="15" customHeight="1" x14ac:dyDescent="0.3">
      <c r="B16" s="176" t="s">
        <v>132</v>
      </c>
      <c r="C16" s="160"/>
      <c r="D16" s="160"/>
    </row>
    <row r="17" spans="2:2" ht="15" customHeight="1" x14ac:dyDescent="0.3">
      <c r="B17" s="177" t="str" cm="1">
        <f t="array" ref="B17">IF(NoErrors, "", IF(OneError, "There is an unresolved error on the Activities sheet.", "There are unresolved errors on the Activities sheet."))</f>
        <v/>
      </c>
    </row>
    <row r="19" spans="2:2" ht="12" x14ac:dyDescent="0.3">
      <c r="B19" s="157" t="str" cm="1">
        <f t="array" ref="B19">_xlfn.LET(
_xlpm.M, 1/10^IF($C$10="Millions", 6, IF($C$10="Billions", 9)),
_xlpm.M_txt, IF($C$10="Millions", " ($ millions)", IF($C$10="Billions", " ($ billions)", "")),
_xlpm.FO_Impact,_xlfn.ANCHORARRAY( All!$AI$2),
_xlpm.hd, _xlfn.HSTACK("Stakeholder Group", "Activity", _xlfn.HSTACK(_xlfn.SEQUENCE(, Time, YearOfRegistration), "Total (present value)", "Annualized")),
_xlpm.hb, _xlfn.HSTACK("Impacted Stakeholder", "Description of benefit", YrsHdr_U),
_xlpm.hc, _xlfn.HSTACK("Impacted Stakeholder", "Description of cost", YrsHdr_U),
_xlpm.s, IF($C$11="Default", 1, IF($C$11="Total Impact (↑)", 2, IF($C$11="Total Impact (↓)", 3, IF($C$11="Stakeholder Group (↑az)", 4, IF($C$11="Stakeholder Group (↓za)", 5, IF($C$11="Activity (↑az)", 6, IF($C$11="Activity (↓za)", 7))))))),
_xlpm.T_3, Time+3,
_xlpm.v, COUNTBLANK($C$12:$C$14),
_xlpm.cols, _xlfn.UNIQUE(_xlfn.HSTACK(1, 2, 3, IF(_xlpm.v=3, Time+2, TRANSPOSE(_xlfn._xlws.SORT(_xlfn._xlws.FILTER($C$12:$C$14, $C$12:$C$14&lt;&gt;"")))-YearOfRegistration+3), Time+2), 1),
_xlpm.netcols, _xlfn.UNIQUE(_xlfn.HSTACK(1, 2, IF(_xlpm.v=3, Time+1, TRANSPOSE(_xlfn._xlws.SORT(_xlfn._xlws.FILTER($C$12:$C$14, $C$12:$C$14&lt;&gt;"")))-YearOfRegistration+2), Time+1), 1),
_xlpm.IN_D,
     _xlfn.LET(_xlpm.x, _xlfn.MAKEARRAY(ROWS(IN_AS), Time, _xlfn.LAMBDA(_xlpm.r,_xlpm.c,
     -SUMIFS(INDEX(_xlpm.FO_Impact,, NGroups+MATCH(INDEX(IN_AS, _xlpm.r, 1), Groups, 0)), L_IO, "Cost", L_A, INDEX(IN_AS, _xlpm.r, 2), L_Yrs, INDEX(Yrs, ,_xlpm.c))*_xlpm.M)),
     _xlpm.y, _xlfn.BYROW(_xlpm.x, _xlfn.LAMBDA(_xlpm.a, SUM(_xlpm.a))),
     _xlpm.z, _xlfn.HSTACK(_xlpm.x, _xlpm.y, _xlpm.y*AF),
     _xlpm.e, _xlfn.HSTACK(IN_AS, _xlpm.z),
     _xlpm.f, IF(_xlpm.s=1, _xlpm.e, _xlfn._xlws.SORT(_xlpm.e, IF(_xlpm.s&lt;4, _xlpm.T_3, IF(_xlpm.s&lt;6, 1, 2)), IF(ISEVEN(_xlpm.s), 1, -1))),
     _xlpm.t, _xlfn.VSTACK(_xlpm.hd, _xlpm.f, _xlfn.HSTACK("", "", _xlfn.BYCOL(_xlpm.z, _xlfn.LAMBDA(_xlpm.b, SUM(_xlpm.b))))),
     _xlpm.t),
_xlpm.IN_U,
     _xlfn.LET(_xlpm.x, _xlfn.MAKEARRAY(ROWS(IN_AS), Time, _xlfn.LAMBDA(_xlpm.r,_xlpm.c,
     -SUMIFS(INDEX(_xlpm.FO_Impact,, MATCH(INDEX(IN_AS, _xlpm.r, 1), Groups, 0)), L_IO, "Cost", L_A, INDEX(IN_AS, _xlpm.r, 2), L_Yrs, INDEX(Yrs, ,_xlpm.c))*_xlpm.M)),
     _xlpm.y, _xlfn.BYROW(_xlpm.x, _xlfn.LAMBDA(_xlpm.a, SUM(_xlpm.a))),
     _xlpm.z, _xlfn.HSTACK(_xlpm.x, _xlpm.y),
     _xlpm.e, _xlfn.HSTACK(IN_AS, _xlpm.z),
     _xlpm.f, IF(_xlpm.s=1, _xlpm.e, _xlfn._xlws.SORT(_xlpm.e, IF(_xlpm.s&lt;4, _xlpm.T_3, IF(_xlpm.s&lt;6, 1, 2)), IF(ISEVEN(_xlpm.s), 1, -1))),
     _xlpm.t, _xlfn.VSTACK(_xlpm.hc, _xlpm.f, _xlfn.HSTACK("All Stakeholders", "Total costs", _xlfn.BYCOL(_xlpm.z, _xlfn.LAMBDA(_xlpm.b, SUM(_xlpm.b))))),
     _xlpm.t),
_xlpm.OUT_D,
     _xlfn.LET(_xlpm.x, _xlfn.MAKEARRAY(ROWS(OUT_AS), Time, _xlfn.LAMBDA(_xlpm.r,_xlpm.c,
     SUMIFS(INDEX(_xlpm.FO_Impact,, NGroups+MATCH(INDEX(OUT_AS, _xlpm.r, 1), Groups, 0)), L_IO, "Benefit", L_A, INDEX(OUT_AS, _xlpm.r, 2), L_Yrs, INDEX(Yrs, ,_xlpm.c))*_xlpm.M)),
     _xlpm.y, _xlfn.BYROW(_xlpm.x, _xlfn.LAMBDA(_xlpm.a, SUM(_xlpm.a))),
     _xlpm.z, _xlfn.HSTACK(_xlpm.x, _xlpm.y, _xlpm.y*AF),
     _xlpm.e, _xlfn.HSTACK(OUT_AS, _xlpm.z),
     _xlpm.f, IF(_xlpm.s=1, _xlpm.e, _xlfn._xlws.SORT(_xlpm.e, IF(_xlpm.s&lt;4, _xlpm.T_3, IF(_xlpm.s&lt;6, 1, 2)), IF(ISEVEN(_xlpm.s), 1, -1))),
     _xlpm.t, _xlfn.VSTACK(_xlpm.hd, _xlpm.f, _xlfn.HSTACK("", "", _xlfn.BYCOL(_xlpm.z, _xlfn.LAMBDA(_xlpm.b, SUM(_xlpm.b))))),
     _xlpm.t),
_xlpm.OUT_U,
     _xlfn.LET(_xlpm.x, _xlfn.MAKEARRAY(ROWS(OUT_AS), Time, _xlfn.LAMBDA(_xlpm.r,_xlpm.c,
     SUMIFS(INDEX(_xlpm.FO_Impact,, MATCH(INDEX(OUT_AS, _xlpm.r, 1), Groups, 0)), L_IO, "Benefit", L_A, INDEX(OUT_AS, _xlpm.r, 2), L_Yrs, INDEX(Yrs, ,_xlpm.c))*_xlpm.M)),
     _xlpm.y, _xlfn.BYROW(_xlpm.x, _xlfn.LAMBDA(_xlpm.a, SUM(_xlpm.a))),
     _xlpm.z, _xlfn.HSTACK(_xlpm.x, _xlpm.y),
     _xlpm.e, _xlfn.HSTACK(OUT_AS, _xlpm.z),
     _xlpm.f, IF(_xlpm.s=1, _xlpm.e, _xlfn._xlws.SORT(_xlpm.e, IF(_xlpm.s&lt;4, _xlpm.T_3, IF(_xlpm.s&lt;6, 1, 2)), IF(ISEVEN(_xlpm.s), 1, -1))),
     _xlpm.t, _xlfn.VSTACK(_xlpm.hb, _xlpm.f, _xlfn.HSTACK("All Stakeholders", "Total benefits", _xlfn.BYCOL(_xlpm.z, _xlfn.LAMBDA(_xlpm.b, SUM(_xlpm.b))))),
     _xlpm.t),
_xlpm.NET_D,
     _xlfn.LET(_xlpm.x, _xlfn.MAKEARRAY(3, Time, _xlfn.LAMBDA(_xlpm.r,_xlpm.c,
     IF(_xlpm.r=1, SUMIFS(L_DIAS, L_IO, "Benefit", L_Yrs, INDEX(Yrs, ,_xlpm.c)), IF(_xlpm.r=2, -SUMIFS(L_DIAS, L_IO, "Cost", L_Yrs, INDEX(Yrs, ,_xlpm.c)), SUMIFS(L_DIAS, L_Yrs, INDEX(Yrs, ,_xlpm.c))))*_xlpm.M)),
     _xlpm.y, _xlfn.BYROW(_xlpm.x, _xlfn.LAMBDA(_xlpm.a, SUM(_xlpm.a))),
     _xlpm.z, _xlfn.HSTACK(_xlpm.x, _xlpm.y, _xlpm.y*AF),
     _xlpm.t, _xlfn.VSTACK(_xlfn.HSTACK("Impact", _xlfn.HSTACK(_xlfn.SEQUENCE(, Time, YearOfRegistration), "Total (present value)", "Annualized")), _xlfn.HSTACK(_xlfn.VSTACK("Total benefits", "Total costs", "Net impact"), _xlpm.z)),
     _xlpm.t),
_xlpm.NET_U,
     _xlfn.LET(_xlpm.x, _xlfn.MAKEARRAY(3, Time, _xlfn.LAMBDA(_xlpm.r,_xlpm.c,
     IF(_xlpm.r=1, SUMIFS(L_UIAS, L_IO, "Benefit", L_Yrs, INDEX(Yrs, ,_xlpm.c)), IF(_xlpm.r=2, -SUMIFS(L_UIAS, L_IO, "Cost", L_Yrs, INDEX(Yrs, ,_xlpm.c)), SUMIFS(L_UIAS, L_Yrs, INDEX(Yrs, ,_xlpm.c))))*_xlpm.M)),
     _xlpm.y, _xlfn.BYROW(_xlpm.x, _xlfn.LAMBDA(_xlpm.a, SUM(_xlpm.a))),
     _xlpm.z, _xlfn.HSTACK(_xlpm.x, _xlpm.y),
     _xlpm.t, _xlfn.VSTACK(_xlfn.HSTACK("Impact", YrsHdr_U), _xlfn.HSTACK(_xlfn.VSTACK("Total benefits", "Total costs", "Net impact"), _xlpm.z)),
     _xlpm.t),
_xlpm.MB, _xlfn.VSTACK("Monetized benefits"&amp;_xlpm.M_txt, _xlfn.HSTACK(_xlfn.CHOOSECOLS(_xlpm.OUT_U, _xlpm.cols), _xlfn.TAKE(_xlpm.OUT_D,,-2))),
_xlpm.MC, _xlfn.VSTACK("Monetized costs"&amp;_xlpm.M_txt, _xlfn.HSTACK(_xlfn.CHOOSECOLS(_xlpm.IN_U, _xlpm.cols), _xlfn.TAKE(_xlpm.IN_D,,-2))),
_xlpm.NI, _xlfn.VSTACK("Summary of monetized benefits and costs"&amp;_xlpm.M_txt, _xlfn.HSTACK(_xlfn.CHOOSECOLS(_xlpm.NET_U, _xlpm.netcols), _xlfn.TAKE(_xlpm.NET_D,,-2))),
_xlpm.j, IFERROR(IF(NoOut, _xlfn.VSTACK(_xlpm.MC, "", "", _xlpm.NI), IF(NoIn, _xlfn.VSTACK(_xlpm.MB, "", "", _xlpm.NI), _xlfn.VSTACK(_xlpm.MB, "", "", _xlpm.MC, "", "", _xlpm.NI))), ""),
_xlpm.j)</f>
        <v/>
      </c>
    </row>
    <row r="20" spans="2:2" ht="12" x14ac:dyDescent="0.3"/>
    <row r="22" spans="2:2" ht="12" x14ac:dyDescent="0.3"/>
    <row r="25" spans="2:2" ht="12" x14ac:dyDescent="0.3"/>
    <row r="26" spans="2:2" ht="12" x14ac:dyDescent="0.3"/>
    <row r="29" spans="2:2" ht="12" x14ac:dyDescent="0.3"/>
  </sheetData>
  <mergeCells count="3">
    <mergeCell ref="D12:D14"/>
    <mergeCell ref="D6:D9"/>
    <mergeCell ref="D10:D11"/>
  </mergeCells>
  <phoneticPr fontId="2" type="noConversion"/>
  <conditionalFormatting sqref="B17">
    <cfRule type="notContainsBlanks" dxfId="9" priority="1">
      <formula>LEN(TRIM(B17))&gt;0</formula>
    </cfRule>
  </conditionalFormatting>
  <conditionalFormatting sqref="B19:CZ502">
    <cfRule type="containsText" dxfId="8" priority="3" operator="containsText" text="Monetized">
      <formula>NOT(ISERROR(SEARCH("Monetized",B19)))</formula>
    </cfRule>
    <cfRule type="notContainsBlanks" dxfId="7" priority="4">
      <formula>LEN(TRIM(B19))&gt;0</formula>
    </cfRule>
    <cfRule type="expression" dxfId="6" priority="7">
      <formula>$B19="Impacted Stakeholder"</formula>
    </cfRule>
    <cfRule type="expression" dxfId="5" priority="8">
      <formula>$B19="All Stakeholders"</formula>
    </cfRule>
    <cfRule type="expression" dxfId="4" priority="9">
      <formula>$B19="Net impact"</formula>
    </cfRule>
    <cfRule type="expression" dxfId="3" priority="10">
      <formula>$B19="Impact"</formula>
    </cfRule>
  </conditionalFormatting>
  <dataValidations xWindow="581" yWindow="403" count="2">
    <dataValidation type="list" allowBlank="1" showInputMessage="1" showErrorMessage="1" sqref="C10" xr:uid="{05C1CD0F-A846-4624-BF78-EA0331782802}">
      <formula1>"Single, Millions, Billions"</formula1>
    </dataValidation>
    <dataValidation type="list" allowBlank="1" showInputMessage="1" showErrorMessage="1" prompt="Default lists activities by the order in which they appear on the Activities sheet, and then stakeholder groups by the order in which they appear on the Stakeholders sheet." sqref="C11" xr:uid="{FB64DE11-4293-4049-9C37-C9D6087DCB8F}">
      <formula1>"Default, Total Impact (↑), Total Impact (↓), Stakeholder Group (↑az), Stakeholder Group (↓za), Activity (↑az), Activity (↓za)"</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xWindow="581" yWindow="403" count="3">
        <x14:dataValidation type="list" allowBlank="1" showInputMessage="1" showErrorMessage="1" xr:uid="{B3FCD026-D624-4494-85BA-A5F0C9E554EF}">
          <x14:formula1>
            <xm:f>_xlfn.ANCHORARRAY(Controls!$K$2)</xm:f>
          </x14:formula1>
          <xm:sqref>C12</xm:sqref>
        </x14:dataValidation>
        <x14:dataValidation type="list" allowBlank="1" showInputMessage="1" showErrorMessage="1" xr:uid="{C5F8C651-61F0-40E0-A046-F7C5ABC5161E}">
          <x14:formula1>
            <xm:f>_xlfn.ANCHORARRAY(Controls!$L$2)</xm:f>
          </x14:formula1>
          <xm:sqref>C13</xm:sqref>
        </x14:dataValidation>
        <x14:dataValidation type="list" allowBlank="1" showInputMessage="1" showErrorMessage="1" xr:uid="{4B8E8857-6393-4C42-9F42-3EFBAF7F01AD}">
          <x14:formula1>
            <xm:f>_xlfn.ANCHORARRAY(Controls!$M$2)</xm:f>
          </x14:formula1>
          <xm:sqref>C14</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I100"/>
  <sheetViews>
    <sheetView showGridLines="0" zoomScaleNormal="100" workbookViewId="0">
      <pane ySplit="14" topLeftCell="A54" activePane="bottomLeft" state="frozen"/>
      <selection pane="bottomLeft" activeCell="D66" sqref="D66"/>
    </sheetView>
  </sheetViews>
  <sheetFormatPr defaultColWidth="9.109375" defaultRowHeight="11.4" x14ac:dyDescent="0.2"/>
  <cols>
    <col min="1" max="1" width="2" style="11" customWidth="1"/>
    <col min="2" max="2" width="11.109375" style="70" customWidth="1"/>
    <col min="3" max="3" width="9.44140625" style="11" customWidth="1"/>
    <col min="4" max="4" width="82.88671875" style="11" customWidth="1"/>
    <col min="5" max="5" width="16.5546875" style="11" customWidth="1"/>
    <col min="6" max="6" width="29.88671875" style="52" customWidth="1"/>
    <col min="7" max="7" width="27.109375" style="52" customWidth="1"/>
    <col min="8" max="8" width="9.109375" style="11"/>
    <col min="9" max="9" width="13.109375" style="11" bestFit="1" customWidth="1"/>
    <col min="10" max="16384" width="9.109375" style="11"/>
  </cols>
  <sheetData>
    <row r="2" spans="2:7" ht="15.6" x14ac:dyDescent="0.3">
      <c r="B2" s="69"/>
      <c r="C2" s="281" t="s">
        <v>139</v>
      </c>
    </row>
    <row r="3" spans="2:7" ht="12" x14ac:dyDescent="0.25">
      <c r="B3" s="69"/>
      <c r="C3" s="35"/>
    </row>
    <row r="4" spans="2:7" x14ac:dyDescent="0.2">
      <c r="C4" s="36"/>
      <c r="D4" s="37"/>
    </row>
    <row r="5" spans="2:7" x14ac:dyDescent="0.2">
      <c r="D5" s="37"/>
    </row>
    <row r="6" spans="2:7" x14ac:dyDescent="0.2">
      <c r="C6" s="37"/>
      <c r="D6" s="37"/>
    </row>
    <row r="7" spans="2:7" x14ac:dyDescent="0.2">
      <c r="C7" s="37"/>
      <c r="D7" s="37"/>
    </row>
    <row r="8" spans="2:7" x14ac:dyDescent="0.2">
      <c r="C8" s="37"/>
      <c r="D8" s="37"/>
    </row>
    <row r="9" spans="2:7" x14ac:dyDescent="0.2">
      <c r="C9" s="36"/>
    </row>
    <row r="10" spans="2:7" x14ac:dyDescent="0.2">
      <c r="C10" s="36"/>
    </row>
    <row r="11" spans="2:7" x14ac:dyDescent="0.2">
      <c r="C11" s="36"/>
    </row>
    <row r="12" spans="2:7" x14ac:dyDescent="0.2">
      <c r="C12" s="36"/>
    </row>
    <row r="13" spans="2:7" x14ac:dyDescent="0.2">
      <c r="C13" s="37"/>
    </row>
    <row r="14" spans="2:7" s="213" customFormat="1" ht="30" customHeight="1" x14ac:dyDescent="0.3">
      <c r="B14" s="212"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74" t="s">
        <v>140</v>
      </c>
      <c r="D14" s="33" t="s">
        <v>141</v>
      </c>
      <c r="E14" s="34" t="s">
        <v>142</v>
      </c>
      <c r="F14" s="34" t="s">
        <v>143</v>
      </c>
      <c r="G14" s="49" t="s">
        <v>144</v>
      </c>
    </row>
    <row r="15" spans="2:7" s="213" customFormat="1" ht="17.25" customHeight="1" x14ac:dyDescent="0.3">
      <c r="B15" s="212" t="str">
        <v/>
      </c>
      <c r="C15" s="214" t="str">
        <f>TEXT(ROW(C15)-ROW(tbl_Wages[[#Headers],[Number]]), "00")</f>
        <v>01</v>
      </c>
      <c r="D15" s="75" t="s">
        <v>145</v>
      </c>
      <c r="E15" s="215">
        <v>2021</v>
      </c>
      <c r="F15" s="216">
        <v>30.03</v>
      </c>
      <c r="G15" s="216">
        <f>IFERROR(tbl_Wages[[#This Row],[Wage in price year of data source (without overhead)]]*INDEX(tbl_CPI[Index], MATCH(PriceYear, tbl_CPI[Year], 0))/INDEX(tbl_CPI[Index], MATCH(tbl_Wages[[#This Row],[Price year of data source]], tbl_CPI[Year], 0)), "")</f>
        <v>34.12307203389831</v>
      </c>
    </row>
    <row r="16" spans="2:7" s="213" customFormat="1" ht="17.25" customHeight="1" x14ac:dyDescent="0.3">
      <c r="B16" s="212" t="str">
        <v/>
      </c>
      <c r="C16" s="214" t="str">
        <f>TEXT(ROW(C16)-ROW(tbl_Wages[[#Headers],[Number]]), "00")</f>
        <v>02</v>
      </c>
      <c r="D16" s="75" t="s">
        <v>146</v>
      </c>
      <c r="E16" s="215">
        <v>2021</v>
      </c>
      <c r="F16" s="216">
        <v>49</v>
      </c>
      <c r="G16" s="216">
        <f>IFERROR(tbl_Wages[[#This Row],[Wage in price year of data source (without overhead)]]*INDEX(tbl_CPI[Index], MATCH(PriceYear, tbl_CPI[Year], 0))/INDEX(tbl_CPI[Index], MATCH(tbl_Wages[[#This Row],[Price year of data source]], tbl_CPI[Year], 0)), "")</f>
        <v>55.678672316384187</v>
      </c>
    </row>
    <row r="17" spans="2:7" s="213" customFormat="1" ht="17.25" customHeight="1" x14ac:dyDescent="0.3">
      <c r="B17" s="212" t="str">
        <v/>
      </c>
      <c r="C17" s="214" t="str">
        <f>TEXT(ROW(C17)-ROW(tbl_Wages[[#Headers],[Number]]), "00")</f>
        <v>03</v>
      </c>
      <c r="D17" s="75" t="s">
        <v>147</v>
      </c>
      <c r="E17" s="215">
        <v>2021</v>
      </c>
      <c r="F17" s="216">
        <v>57.52</v>
      </c>
      <c r="G17" s="216">
        <f>IFERROR(tbl_Wages[[#This Row],[Wage in price year of data source (without overhead)]]*INDEX(tbl_CPI[Index], MATCH(PriceYear, tbl_CPI[Year], 0))/INDEX(tbl_CPI[Index], MATCH(tbl_Wages[[#This Row],[Price year of data source]], tbl_CPI[Year], 0)), "")</f>
        <v>65.359943502824862</v>
      </c>
    </row>
    <row r="18" spans="2:7" s="213" customFormat="1" ht="17.25" customHeight="1" x14ac:dyDescent="0.3">
      <c r="B18" s="212" t="str">
        <v/>
      </c>
      <c r="C18" s="214" t="str">
        <f>TEXT(ROW(C18)-ROW(tbl_Wages[[#Headers],[Number]]), "00")</f>
        <v>04</v>
      </c>
      <c r="D18" s="75" t="s">
        <v>148</v>
      </c>
      <c r="E18" s="215">
        <v>2021</v>
      </c>
      <c r="F18" s="216">
        <v>52.98</v>
      </c>
      <c r="G18" s="216">
        <f>IFERROR(tbl_Wages[[#This Row],[Wage in price year of data source (without overhead)]]*INDEX(tbl_CPI[Index], MATCH(PriceYear, tbl_CPI[Year], 0))/INDEX(tbl_CPI[Index], MATCH(tbl_Wages[[#This Row],[Price year of data source]], tbl_CPI[Year], 0)), "")</f>
        <v>60.201144067796612</v>
      </c>
    </row>
    <row r="19" spans="2:7" s="213" customFormat="1" ht="17.25" customHeight="1" x14ac:dyDescent="0.3">
      <c r="B19" s="212" t="str">
        <v/>
      </c>
      <c r="C19" s="214" t="str">
        <f>TEXT(ROW(C19)-ROW(tbl_Wages[[#Headers],[Number]]), "00")</f>
        <v>05</v>
      </c>
      <c r="D19" s="75" t="s">
        <v>149</v>
      </c>
      <c r="E19" s="215">
        <v>2021</v>
      </c>
      <c r="F19" s="216">
        <v>39.28</v>
      </c>
      <c r="G19" s="216">
        <f>IFERROR(tbl_Wages[[#This Row],[Wage in price year of data source (without overhead)]]*INDEX(tbl_CPI[Index], MATCH(PriceYear, tbl_CPI[Year], 0))/INDEX(tbl_CPI[Index], MATCH(tbl_Wages[[#This Row],[Price year of data source]], tbl_CPI[Year], 0)), "")</f>
        <v>44.633841807909604</v>
      </c>
    </row>
    <row r="20" spans="2:7" s="213" customFormat="1" ht="17.25" customHeight="1" x14ac:dyDescent="0.3">
      <c r="B20" s="212" t="str">
        <v/>
      </c>
      <c r="C20" s="214" t="str">
        <f>TEXT(ROW(C20)-ROW(tbl_Wages[[#Headers],[Number]]), "00")</f>
        <v>06</v>
      </c>
      <c r="D20" s="75" t="s">
        <v>150</v>
      </c>
      <c r="E20" s="215">
        <v>2021</v>
      </c>
      <c r="F20" s="216">
        <v>46.16</v>
      </c>
      <c r="G20" s="216">
        <f>IFERROR(tbl_Wages[[#This Row],[Wage in price year of data source (without overhead)]]*INDEX(tbl_CPI[Index], MATCH(PriceYear, tbl_CPI[Year], 0))/INDEX(tbl_CPI[Index], MATCH(tbl_Wages[[#This Row],[Price year of data source]], tbl_CPI[Year], 0)), "")</f>
        <v>52.451581920903955</v>
      </c>
    </row>
    <row r="21" spans="2:7" s="213" customFormat="1" ht="17.25" customHeight="1" x14ac:dyDescent="0.3">
      <c r="B21" s="212" t="str">
        <v/>
      </c>
      <c r="C21" s="214" t="str">
        <f>TEXT(ROW(C21)-ROW(tbl_Wages[[#Headers],[Number]]), "00")</f>
        <v>07</v>
      </c>
      <c r="D21" s="75" t="s">
        <v>151</v>
      </c>
      <c r="E21" s="215">
        <v>2021</v>
      </c>
      <c r="F21" s="216">
        <v>29.87</v>
      </c>
      <c r="G21" s="216">
        <f>IFERROR(tbl_Wages[[#This Row],[Wage in price year of data source (without overhead)]]*INDEX(tbl_CPI[Index], MATCH(PriceYear, tbl_CPI[Year], 0))/INDEX(tbl_CPI[Index], MATCH(tbl_Wages[[#This Row],[Price year of data source]], tbl_CPI[Year], 0)), "")</f>
        <v>33.941264124293788</v>
      </c>
    </row>
    <row r="22" spans="2:7" s="213" customFormat="1" ht="17.25" customHeight="1" x14ac:dyDescent="0.3">
      <c r="B22" s="212" t="str">
        <v/>
      </c>
      <c r="C22" s="214" t="str">
        <f>TEXT(ROW(C22)-ROW(tbl_Wages[[#Headers],[Number]]), "00")</f>
        <v>08</v>
      </c>
      <c r="D22" s="75" t="s">
        <v>152</v>
      </c>
      <c r="E22" s="215">
        <v>2021</v>
      </c>
      <c r="F22" s="216">
        <v>39.11</v>
      </c>
      <c r="G22" s="216">
        <f>IFERROR(tbl_Wages[[#This Row],[Wage in price year of data source (without overhead)]]*INDEX(tbl_CPI[Index], MATCH(PriceYear, tbl_CPI[Year], 0))/INDEX(tbl_CPI[Index], MATCH(tbl_Wages[[#This Row],[Price year of data source]], tbl_CPI[Year], 0)), "")</f>
        <v>44.440670903954803</v>
      </c>
    </row>
    <row r="23" spans="2:7" s="213" customFormat="1" ht="17.25" customHeight="1" x14ac:dyDescent="0.3">
      <c r="B23" s="212" t="str">
        <v/>
      </c>
      <c r="C23" s="214" t="str">
        <f>TEXT(ROW(C23)-ROW(tbl_Wages[[#Headers],[Number]]), "00")</f>
        <v>09</v>
      </c>
      <c r="D23" s="75" t="s">
        <v>153</v>
      </c>
      <c r="E23" s="215">
        <v>2021</v>
      </c>
      <c r="F23" s="216">
        <v>28.89</v>
      </c>
      <c r="G23" s="216">
        <f>IFERROR(tbl_Wages[[#This Row],[Wage in price year of data source (without overhead)]]*INDEX(tbl_CPI[Index], MATCH(PriceYear, tbl_CPI[Year], 0))/INDEX(tbl_CPI[Index], MATCH(tbl_Wages[[#This Row],[Price year of data source]], tbl_CPI[Year], 0)), "")</f>
        <v>32.827690677966103</v>
      </c>
    </row>
    <row r="24" spans="2:7" s="213" customFormat="1" ht="17.25" customHeight="1" x14ac:dyDescent="0.3">
      <c r="B24" s="212" t="str">
        <v/>
      </c>
      <c r="C24" s="214" t="str">
        <f>TEXT(ROW(C24)-ROW(tbl_Wages[[#Headers],[Number]]), "00")</f>
        <v>10</v>
      </c>
      <c r="D24" s="75" t="s">
        <v>154</v>
      </c>
      <c r="E24" s="215">
        <v>2021</v>
      </c>
      <c r="F24" s="216">
        <v>29.32</v>
      </c>
      <c r="G24" s="216">
        <f>IFERROR(tbl_Wages[[#This Row],[Wage in price year of data source (without overhead)]]*INDEX(tbl_CPI[Index], MATCH(PriceYear, tbl_CPI[Year], 0))/INDEX(tbl_CPI[Index], MATCH(tbl_Wages[[#This Row],[Price year of data source]], tbl_CPI[Year], 0)), "")</f>
        <v>33.316299435028256</v>
      </c>
    </row>
    <row r="25" spans="2:7" s="213" customFormat="1" ht="17.25" customHeight="1" x14ac:dyDescent="0.3">
      <c r="B25" s="212" t="str">
        <v/>
      </c>
      <c r="C25" s="214" t="str">
        <f>TEXT(ROW(C25)-ROW(tbl_Wages[[#Headers],[Number]]), "00")</f>
        <v>11</v>
      </c>
      <c r="D25" s="75" t="s">
        <v>155</v>
      </c>
      <c r="E25" s="215">
        <v>2021</v>
      </c>
      <c r="F25" s="216">
        <v>23.37</v>
      </c>
      <c r="G25" s="216">
        <f>IFERROR(tbl_Wages[[#This Row],[Wage in price year of data source (without overhead)]]*INDEX(tbl_CPI[Index], MATCH(PriceYear, tbl_CPI[Year], 0))/INDEX(tbl_CPI[Index], MATCH(tbl_Wages[[#This Row],[Price year of data source]], tbl_CPI[Year], 0)), "")</f>
        <v>26.555317796610172</v>
      </c>
    </row>
    <row r="26" spans="2:7" s="213" customFormat="1" ht="17.25" customHeight="1" x14ac:dyDescent="0.3">
      <c r="B26" s="212" t="str">
        <v/>
      </c>
      <c r="C26" s="214" t="str">
        <f>TEXT(ROW(C26)-ROW(tbl_Wages[[#Headers],[Number]]), "00")</f>
        <v>12</v>
      </c>
      <c r="D26" s="75" t="s">
        <v>156</v>
      </c>
      <c r="E26" s="215">
        <v>2021</v>
      </c>
      <c r="F26" s="216">
        <v>23.84</v>
      </c>
      <c r="G26" s="216">
        <f>IFERROR(tbl_Wages[[#This Row],[Wage in price year of data source (without overhead)]]*INDEX(tbl_CPI[Index], MATCH(PriceYear, tbl_CPI[Year], 0))/INDEX(tbl_CPI[Index], MATCH(tbl_Wages[[#This Row],[Price year of data source]], tbl_CPI[Year], 0)), "")</f>
        <v>27.08937853107345</v>
      </c>
    </row>
    <row r="27" spans="2:7" s="213" customFormat="1" ht="17.25" customHeight="1" x14ac:dyDescent="0.3">
      <c r="B27" s="212" t="str">
        <v/>
      </c>
      <c r="C27" s="214" t="str">
        <f>TEXT(ROW(C27)-ROW(tbl_Wages[[#Headers],[Number]]), "00")</f>
        <v>13</v>
      </c>
      <c r="D27" s="75" t="s">
        <v>157</v>
      </c>
      <c r="E27" s="215">
        <v>2021</v>
      </c>
      <c r="F27" s="216">
        <v>39.99</v>
      </c>
      <c r="G27" s="216">
        <f>IFERROR(tbl_Wages[[#This Row],[Wage in price year of data source (without overhead)]]*INDEX(tbl_CPI[Index], MATCH(PriceYear, tbl_CPI[Year], 0))/INDEX(tbl_CPI[Index], MATCH(tbl_Wages[[#This Row],[Price year of data source]], tbl_CPI[Year], 0)), "")</f>
        <v>45.440614406779666</v>
      </c>
    </row>
    <row r="28" spans="2:7" s="213" customFormat="1" ht="17.25" customHeight="1" x14ac:dyDescent="0.3">
      <c r="B28" s="212" t="str">
        <v/>
      </c>
      <c r="C28" s="214" t="str">
        <f>TEXT(ROW(C28)-ROW(tbl_Wages[[#Headers],[Number]]), "00")</f>
        <v>14</v>
      </c>
      <c r="D28" s="75" t="s">
        <v>158</v>
      </c>
      <c r="E28" s="215">
        <v>2021</v>
      </c>
      <c r="F28" s="216">
        <v>43.84</v>
      </c>
      <c r="G28" s="216">
        <f>IFERROR(tbl_Wages[[#This Row],[Wage in price year of data source (without overhead)]]*INDEX(tbl_CPI[Index], MATCH(PriceYear, tbl_CPI[Year], 0))/INDEX(tbl_CPI[Index], MATCH(tbl_Wages[[#This Row],[Price year of data source]], tbl_CPI[Year], 0)), "")</f>
        <v>49.815367231638426</v>
      </c>
    </row>
    <row r="29" spans="2:7" s="213" customFormat="1" ht="17.25" customHeight="1" x14ac:dyDescent="0.3">
      <c r="B29" s="212" t="str">
        <v/>
      </c>
      <c r="C29" s="214" t="str">
        <f>TEXT(ROW(C29)-ROW(tbl_Wages[[#Headers],[Number]]), "00")</f>
        <v>15</v>
      </c>
      <c r="D29" s="75" t="s">
        <v>159</v>
      </c>
      <c r="E29" s="215">
        <v>2021</v>
      </c>
      <c r="F29" s="216">
        <v>33.28</v>
      </c>
      <c r="G29" s="216">
        <f>IFERROR(tbl_Wages[[#This Row],[Wage in price year of data source (without overhead)]]*INDEX(tbl_CPI[Index], MATCH(PriceYear, tbl_CPI[Year], 0))/INDEX(tbl_CPI[Index], MATCH(tbl_Wages[[#This Row],[Price year of data source]], tbl_CPI[Year], 0)), "")</f>
        <v>37.816045197740117</v>
      </c>
    </row>
    <row r="30" spans="2:7" s="213" customFormat="1" ht="17.25" customHeight="1" x14ac:dyDescent="0.3">
      <c r="B30" s="212" t="str">
        <v/>
      </c>
      <c r="C30" s="214" t="str">
        <f>TEXT(ROW(C30)-ROW(tbl_Wages[[#Headers],[Number]]), "00")</f>
        <v>16</v>
      </c>
      <c r="D30" s="75" t="s">
        <v>160</v>
      </c>
      <c r="E30" s="215">
        <v>2021</v>
      </c>
      <c r="F30" s="216">
        <v>31.85</v>
      </c>
      <c r="G30" s="216">
        <f>IFERROR(tbl_Wages[[#This Row],[Wage in price year of data source (without overhead)]]*INDEX(tbl_CPI[Index], MATCH(PriceYear, tbl_CPI[Year], 0))/INDEX(tbl_CPI[Index], MATCH(tbl_Wages[[#This Row],[Price year of data source]], tbl_CPI[Year], 0)), "")</f>
        <v>36.191137005649722</v>
      </c>
    </row>
    <row r="31" spans="2:7" s="213" customFormat="1" ht="17.25" customHeight="1" x14ac:dyDescent="0.3">
      <c r="B31" s="212" t="str">
        <v/>
      </c>
      <c r="C31" s="214" t="str">
        <f>TEXT(ROW(C31)-ROW(tbl_Wages[[#Headers],[Number]]), "00")</f>
        <v>17</v>
      </c>
      <c r="D31" s="75" t="s">
        <v>161</v>
      </c>
      <c r="E31" s="215">
        <v>2021</v>
      </c>
      <c r="F31" s="216">
        <v>39.590000000000003</v>
      </c>
      <c r="G31" s="216">
        <f>IFERROR(tbl_Wages[[#This Row],[Wage in price year of data source (without overhead)]]*INDEX(tbl_CPI[Index], MATCH(PriceYear, tbl_CPI[Year], 0))/INDEX(tbl_CPI[Index], MATCH(tbl_Wages[[#This Row],[Price year of data source]], tbl_CPI[Year], 0)), "")</f>
        <v>44.986094632768371</v>
      </c>
    </row>
    <row r="32" spans="2:7" s="213" customFormat="1" ht="17.25" customHeight="1" x14ac:dyDescent="0.3">
      <c r="B32" s="212" t="str">
        <v/>
      </c>
      <c r="C32" s="214" t="str">
        <f>TEXT(ROW(C32)-ROW(tbl_Wages[[#Headers],[Number]]), "00")</f>
        <v>18</v>
      </c>
      <c r="D32" s="75" t="s">
        <v>162</v>
      </c>
      <c r="E32" s="215">
        <v>2021</v>
      </c>
      <c r="F32" s="216">
        <v>41.61</v>
      </c>
      <c r="G32" s="216">
        <f>IFERROR(tbl_Wages[[#This Row],[Wage in price year of data source (without overhead)]]*INDEX(tbl_CPI[Index], MATCH(PriceYear, tbl_CPI[Year], 0))/INDEX(tbl_CPI[Index], MATCH(tbl_Wages[[#This Row],[Price year of data source]], tbl_CPI[Year], 0)), "")</f>
        <v>47.281419491525426</v>
      </c>
    </row>
    <row r="33" spans="2:9" s="213" customFormat="1" ht="17.25" customHeight="1" x14ac:dyDescent="0.3">
      <c r="B33" s="212" t="str">
        <v/>
      </c>
      <c r="C33" s="214" t="str">
        <f>TEXT(ROW(C33)-ROW(tbl_Wages[[#Headers],[Number]]), "00")</f>
        <v>19</v>
      </c>
      <c r="D33" s="75" t="s">
        <v>163</v>
      </c>
      <c r="E33" s="215">
        <v>2021</v>
      </c>
      <c r="F33" s="216">
        <v>29.79</v>
      </c>
      <c r="G33" s="216">
        <f>IFERROR(tbl_Wages[[#This Row],[Wage in price year of data source (without overhead)]]*INDEX(tbl_CPI[Index], MATCH(PriceYear, tbl_CPI[Year], 0))/INDEX(tbl_CPI[Index], MATCH(tbl_Wages[[#This Row],[Price year of data source]], tbl_CPI[Year], 0)), "")</f>
        <v>33.85036016949153</v>
      </c>
    </row>
    <row r="34" spans="2:9" s="213" customFormat="1" ht="17.25" customHeight="1" x14ac:dyDescent="0.3">
      <c r="B34" s="212" t="str">
        <v/>
      </c>
      <c r="C34" s="214" t="str">
        <f>TEXT(ROW(C34)-ROW(tbl_Wages[[#Headers],[Number]]), "00")</f>
        <v>20</v>
      </c>
      <c r="D34" s="75" t="s">
        <v>164</v>
      </c>
      <c r="E34" s="215">
        <v>2021</v>
      </c>
      <c r="F34" s="216">
        <v>22.16</v>
      </c>
      <c r="G34" s="216">
        <f>IFERROR(tbl_Wages[[#This Row],[Wage in price year of data source (without overhead)]]*INDEX(tbl_CPI[Index], MATCH(PriceYear, tbl_CPI[Year], 0))/INDEX(tbl_CPI[Index], MATCH(tbl_Wages[[#This Row],[Price year of data source]], tbl_CPI[Year], 0)), "")</f>
        <v>25.180395480225993</v>
      </c>
    </row>
    <row r="35" spans="2:9" s="213" customFormat="1" ht="17.25" customHeight="1" x14ac:dyDescent="0.3">
      <c r="B35" s="212" t="str">
        <v/>
      </c>
      <c r="C35" s="214" t="str">
        <f>TEXT(ROW(C35)-ROW(tbl_Wages[[#Headers],[Number]]), "00")</f>
        <v>21</v>
      </c>
      <c r="D35" s="75" t="s">
        <v>165</v>
      </c>
      <c r="E35" s="215">
        <v>2021</v>
      </c>
      <c r="F35" s="216">
        <v>35.36</v>
      </c>
      <c r="G35" s="216">
        <f>IFERROR(tbl_Wages[[#This Row],[Wage in price year of data source (without overhead)]]*INDEX(tbl_CPI[Index], MATCH(PriceYear, tbl_CPI[Year], 0))/INDEX(tbl_CPI[Index], MATCH(tbl_Wages[[#This Row],[Price year of data source]], tbl_CPI[Year], 0)), "")</f>
        <v>40.179548022598873</v>
      </c>
    </row>
    <row r="36" spans="2:9" s="213" customFormat="1" ht="17.25" customHeight="1" x14ac:dyDescent="0.3">
      <c r="B36" s="212" t="str">
        <v/>
      </c>
      <c r="C36" s="214" t="str">
        <f>TEXT(ROW(C36)-ROW(tbl_Wages[[#Headers],[Number]]), "00")</f>
        <v>22</v>
      </c>
      <c r="D36" s="75" t="s">
        <v>166</v>
      </c>
      <c r="E36" s="215">
        <v>2021</v>
      </c>
      <c r="F36" s="216">
        <v>39.97</v>
      </c>
      <c r="G36" s="216">
        <f>IFERROR(tbl_Wages[[#This Row],[Wage in price year of data source (without overhead)]]*INDEX(tbl_CPI[Index], MATCH(PriceYear, tbl_CPI[Year], 0))/INDEX(tbl_CPI[Index], MATCH(tbl_Wages[[#This Row],[Price year of data source]], tbl_CPI[Year], 0)), "")</f>
        <v>45.417888418079094</v>
      </c>
    </row>
    <row r="37" spans="2:9" s="213" customFormat="1" ht="17.25" customHeight="1" x14ac:dyDescent="0.3">
      <c r="B37" s="212" t="str">
        <v/>
      </c>
      <c r="C37" s="214" t="str">
        <f>TEXT(ROW(C37)-ROW(tbl_Wages[[#Headers],[Number]]), "00")</f>
        <v>23</v>
      </c>
      <c r="D37" s="75" t="s">
        <v>167</v>
      </c>
      <c r="E37" s="215">
        <v>2021</v>
      </c>
      <c r="F37" s="216">
        <v>40.03</v>
      </c>
      <c r="G37" s="216">
        <f>IFERROR(tbl_Wages[[#This Row],[Wage in price year of data source (without overhead)]]*INDEX(tbl_CPI[Index], MATCH(PriceYear, tbl_CPI[Year], 0))/INDEX(tbl_CPI[Index], MATCH(tbl_Wages[[#This Row],[Price year of data source]], tbl_CPI[Year], 0)), "")</f>
        <v>45.486066384180795</v>
      </c>
      <c r="I37" s="217"/>
    </row>
    <row r="38" spans="2:9" s="213" customFormat="1" ht="17.25" customHeight="1" x14ac:dyDescent="0.3">
      <c r="B38" s="212" t="str">
        <v/>
      </c>
      <c r="C38" s="214" t="str">
        <f>TEXT(ROW(C38)-ROW(tbl_Wages[[#Headers],[Number]]), "00")</f>
        <v>24</v>
      </c>
      <c r="D38" s="75" t="s">
        <v>168</v>
      </c>
      <c r="E38" s="215">
        <v>2021</v>
      </c>
      <c r="F38" s="216">
        <v>23.9</v>
      </c>
      <c r="G38" s="216">
        <f>IFERROR(tbl_Wages[[#This Row],[Wage in price year of data source (without overhead)]]*INDEX(tbl_CPI[Index], MATCH(PriceYear, tbl_CPI[Year], 0))/INDEX(tbl_CPI[Index], MATCH(tbl_Wages[[#This Row],[Price year of data source]], tbl_CPI[Year], 0)), "")</f>
        <v>27.15755649717514</v>
      </c>
    </row>
    <row r="39" spans="2:9" s="213" customFormat="1" ht="17.25" customHeight="1" x14ac:dyDescent="0.3">
      <c r="B39" s="212" t="str">
        <v/>
      </c>
      <c r="C39" s="214" t="str">
        <f>TEXT(ROW(C39)-ROW(tbl_Wages[[#Headers],[Number]]), "00")</f>
        <v>25</v>
      </c>
      <c r="D39" s="75" t="s">
        <v>169</v>
      </c>
      <c r="E39" s="215">
        <v>2021</v>
      </c>
      <c r="F39" s="216">
        <v>44.35</v>
      </c>
      <c r="G39" s="216">
        <f>IFERROR(tbl_Wages[[#This Row],[Wage in price year of data source (without overhead)]]*INDEX(tbl_CPI[Index], MATCH(PriceYear, tbl_CPI[Year], 0))/INDEX(tbl_CPI[Index], MATCH(tbl_Wages[[#This Row],[Price year of data source]], tbl_CPI[Year], 0)), "")</f>
        <v>50.394879943502836</v>
      </c>
    </row>
    <row r="40" spans="2:9" s="213" customFormat="1" ht="17.25" customHeight="1" x14ac:dyDescent="0.3">
      <c r="B40" s="212" t="str">
        <v/>
      </c>
      <c r="C40" s="214" t="str">
        <f>TEXT(ROW(C40)-ROW(tbl_Wages[[#Headers],[Number]]), "00")</f>
        <v>26</v>
      </c>
      <c r="D40" s="75" t="s">
        <v>170</v>
      </c>
      <c r="E40" s="215">
        <v>2021</v>
      </c>
      <c r="F40" s="216">
        <v>23.86</v>
      </c>
      <c r="G40" s="216">
        <f>IFERROR(tbl_Wages[[#This Row],[Wage in price year of data source (without overhead)]]*INDEX(tbl_CPI[Index], MATCH(PriceYear, tbl_CPI[Year], 0))/INDEX(tbl_CPI[Index], MATCH(tbl_Wages[[#This Row],[Price year of data source]], tbl_CPI[Year], 0)), "")</f>
        <v>27.112104519774014</v>
      </c>
    </row>
    <row r="41" spans="2:9" s="213" customFormat="1" ht="17.25" customHeight="1" x14ac:dyDescent="0.3">
      <c r="B41" s="212" t="str">
        <v/>
      </c>
      <c r="C41" s="214" t="str">
        <f>TEXT(ROW(C41)-ROW(tbl_Wages[[#Headers],[Number]]), "00")</f>
        <v>27</v>
      </c>
      <c r="D41" s="75" t="s">
        <v>171</v>
      </c>
      <c r="E41" s="215">
        <v>2021</v>
      </c>
      <c r="F41" s="216">
        <v>28.38</v>
      </c>
      <c r="G41" s="216">
        <f>IFERROR(tbl_Wages[[#This Row],[Wage in price year of data source (without overhead)]]*INDEX(tbl_CPI[Index], MATCH(PriceYear, tbl_CPI[Year], 0))/INDEX(tbl_CPI[Index], MATCH(tbl_Wages[[#This Row],[Price year of data source]], tbl_CPI[Year], 0)), "")</f>
        <v>32.248177966101693</v>
      </c>
    </row>
    <row r="42" spans="2:9" s="213" customFormat="1" ht="17.25" customHeight="1" x14ac:dyDescent="0.3">
      <c r="B42" s="212" t="str">
        <v/>
      </c>
      <c r="C42" s="214" t="str">
        <f>TEXT(ROW(C42)-ROW(tbl_Wages[[#Headers],[Number]]), "00")</f>
        <v>28</v>
      </c>
      <c r="D42" s="75" t="s">
        <v>172</v>
      </c>
      <c r="E42" s="215">
        <v>2021</v>
      </c>
      <c r="F42" s="216">
        <v>32.799999999999997</v>
      </c>
      <c r="G42" s="216">
        <f>IFERROR(tbl_Wages[[#This Row],[Wage in price year of data source (without overhead)]]*INDEX(tbl_CPI[Index], MATCH(PriceYear, tbl_CPI[Year], 0))/INDEX(tbl_CPI[Index], MATCH(tbl_Wages[[#This Row],[Price year of data source]], tbl_CPI[Year], 0)), "")</f>
        <v>37.270621468926549</v>
      </c>
    </row>
    <row r="43" spans="2:9" s="213" customFormat="1" ht="17.25" customHeight="1" x14ac:dyDescent="0.3">
      <c r="B43" s="212" t="str">
        <v/>
      </c>
      <c r="C43" s="214" t="str">
        <f>TEXT(ROW(C43)-ROW(tbl_Wages[[#Headers],[Number]]), "00")</f>
        <v>29</v>
      </c>
      <c r="D43" s="75" t="s">
        <v>173</v>
      </c>
      <c r="E43" s="215">
        <v>2021</v>
      </c>
      <c r="F43" s="216">
        <v>26.58</v>
      </c>
      <c r="G43" s="216">
        <f>IFERROR(tbl_Wages[[#This Row],[Wage in price year of data source (without overhead)]]*INDEX(tbl_CPI[Index], MATCH(PriceYear, tbl_CPI[Year], 0))/INDEX(tbl_CPI[Index], MATCH(tbl_Wages[[#This Row],[Price year of data source]], tbl_CPI[Year], 0)), "")</f>
        <v>30.202838983050846</v>
      </c>
    </row>
    <row r="44" spans="2:9" s="213" customFormat="1" ht="17.25" customHeight="1" x14ac:dyDescent="0.3">
      <c r="B44" s="212" t="str">
        <v/>
      </c>
      <c r="C44" s="214" t="str">
        <f>TEXT(ROW(C44)-ROW(tbl_Wages[[#Headers],[Number]]), "00")</f>
        <v>30</v>
      </c>
      <c r="D44" s="75" t="s">
        <v>174</v>
      </c>
      <c r="E44" s="215">
        <v>2021</v>
      </c>
      <c r="F44" s="216">
        <v>19.55</v>
      </c>
      <c r="G44" s="216">
        <f>IFERROR(tbl_Wages[[#This Row],[Wage in price year of data source (without overhead)]]*INDEX(tbl_CPI[Index], MATCH(PriceYear, tbl_CPI[Year], 0))/INDEX(tbl_CPI[Index], MATCH(tbl_Wages[[#This Row],[Price year of data source]], tbl_CPI[Year], 0)), "")</f>
        <v>22.214653954802262</v>
      </c>
    </row>
    <row r="45" spans="2:9" s="213" customFormat="1" ht="17.25" customHeight="1" x14ac:dyDescent="0.3">
      <c r="B45" s="212" t="str">
        <v/>
      </c>
      <c r="C45" s="214" t="str">
        <f>TEXT(ROW(C45)-ROW(tbl_Wages[[#Headers],[Number]]), "00")</f>
        <v>31</v>
      </c>
      <c r="D45" s="75" t="s">
        <v>175</v>
      </c>
      <c r="E45" s="215">
        <v>2021</v>
      </c>
      <c r="F45" s="216">
        <v>25.49</v>
      </c>
      <c r="G45" s="216">
        <f>IFERROR(tbl_Wages[[#This Row],[Wage in price year of data source (without overhead)]]*INDEX(tbl_CPI[Index], MATCH(PriceYear, tbl_CPI[Year], 0))/INDEX(tbl_CPI[Index], MATCH(tbl_Wages[[#This Row],[Price year of data source]], tbl_CPI[Year], 0)), "")</f>
        <v>28.964272598870053</v>
      </c>
    </row>
    <row r="46" spans="2:9" s="213" customFormat="1" ht="17.25" customHeight="1" x14ac:dyDescent="0.3">
      <c r="B46" s="212" t="str">
        <v/>
      </c>
      <c r="C46" s="214" t="str">
        <f>TEXT(ROW(C46)-ROW(tbl_Wages[[#Headers],[Number]]), "00")</f>
        <v>32</v>
      </c>
      <c r="D46" s="75" t="s">
        <v>176</v>
      </c>
      <c r="E46" s="215">
        <v>2021</v>
      </c>
      <c r="F46" s="216">
        <v>19.84</v>
      </c>
      <c r="G46" s="216">
        <f>IFERROR(tbl_Wages[[#This Row],[Wage in price year of data source (without overhead)]]*INDEX(tbl_CPI[Index], MATCH(PriceYear, tbl_CPI[Year], 0))/INDEX(tbl_CPI[Index], MATCH(tbl_Wages[[#This Row],[Price year of data source]], tbl_CPI[Year], 0)), "")</f>
        <v>22.544180790960453</v>
      </c>
    </row>
    <row r="47" spans="2:9" s="213" customFormat="1" ht="17.25" customHeight="1" x14ac:dyDescent="0.3">
      <c r="B47" s="212" t="str">
        <v/>
      </c>
      <c r="C47" s="214" t="str">
        <f>TEXT(ROW(C47)-ROW(tbl_Wages[[#Headers],[Number]]), "00")</f>
        <v>33</v>
      </c>
      <c r="D47" s="75" t="s">
        <v>177</v>
      </c>
      <c r="E47" s="215">
        <v>2021</v>
      </c>
      <c r="F47" s="216">
        <v>20.440000000000001</v>
      </c>
      <c r="G47" s="216">
        <f>IFERROR(tbl_Wages[[#This Row],[Wage in price year of data source (without overhead)]]*INDEX(tbl_CPI[Index], MATCH(PriceYear, tbl_CPI[Year], 0))/INDEX(tbl_CPI[Index], MATCH(tbl_Wages[[#This Row],[Price year of data source]], tbl_CPI[Year], 0)), "")</f>
        <v>23.225960451977404</v>
      </c>
    </row>
    <row r="48" spans="2:9" s="213" customFormat="1" ht="17.25" customHeight="1" x14ac:dyDescent="0.3">
      <c r="B48" s="212" t="str">
        <v/>
      </c>
      <c r="C48" s="214" t="str">
        <f>TEXT(ROW(C48)-ROW(tbl_Wages[[#Headers],[Number]]), "00")</f>
        <v>34</v>
      </c>
      <c r="D48" s="75" t="s">
        <v>178</v>
      </c>
      <c r="E48" s="215">
        <v>2021</v>
      </c>
      <c r="F48" s="216">
        <v>19.670000000000002</v>
      </c>
      <c r="G48" s="216">
        <f>IFERROR(tbl_Wages[[#This Row],[Wage in price year of data source (without overhead)]]*INDEX(tbl_CPI[Index], MATCH(PriceYear, tbl_CPI[Year], 0))/INDEX(tbl_CPI[Index], MATCH(tbl_Wages[[#This Row],[Price year of data source]], tbl_CPI[Year], 0)), "")</f>
        <v>22.351009887005652</v>
      </c>
    </row>
    <row r="49" spans="2:9" s="213" customFormat="1" ht="17.25" customHeight="1" x14ac:dyDescent="0.3">
      <c r="B49" s="212" t="str">
        <v/>
      </c>
      <c r="C49" s="214" t="str">
        <f>TEXT(ROW(C49)-ROW(tbl_Wages[[#Headers],[Number]]), "00")</f>
        <v>35</v>
      </c>
      <c r="D49" s="75" t="s">
        <v>179</v>
      </c>
      <c r="E49" s="215">
        <v>2021</v>
      </c>
      <c r="F49" s="216">
        <v>15.45</v>
      </c>
      <c r="G49" s="216">
        <f>IFERROR(tbl_Wages[[#This Row],[Wage in price year of data source (without overhead)]]*INDEX(tbl_CPI[Index], MATCH(PriceYear, tbl_CPI[Year], 0))/INDEX(tbl_CPI[Index], MATCH(tbl_Wages[[#This Row],[Price year of data source]], tbl_CPI[Year], 0)), "")</f>
        <v>17.555826271186444</v>
      </c>
    </row>
    <row r="50" spans="2:9" s="213" customFormat="1" ht="17.25" customHeight="1" x14ac:dyDescent="0.3">
      <c r="B50" s="212" t="str">
        <v/>
      </c>
      <c r="C50" s="214" t="str">
        <f>TEXT(ROW(C50)-ROW(tbl_Wages[[#Headers],[Number]]), "00")</f>
        <v>36</v>
      </c>
      <c r="D50" s="75" t="s">
        <v>180</v>
      </c>
      <c r="E50" s="215">
        <v>2021</v>
      </c>
      <c r="F50" s="216">
        <v>17.54</v>
      </c>
      <c r="G50" s="216">
        <f>IFERROR(tbl_Wages[[#This Row],[Wage in price year of data source (without overhead)]]*INDEX(tbl_CPI[Index], MATCH(PriceYear, tbl_CPI[Year], 0))/INDEX(tbl_CPI[Index], MATCH(tbl_Wages[[#This Row],[Price year of data source]], tbl_CPI[Year], 0)), "")</f>
        <v>19.930692090395482</v>
      </c>
    </row>
    <row r="51" spans="2:9" s="213" customFormat="1" ht="17.25" customHeight="1" x14ac:dyDescent="0.3">
      <c r="B51" s="212" t="str">
        <v/>
      </c>
      <c r="C51" s="214" t="str">
        <f>TEXT(ROW(C51)-ROW(tbl_Wages[[#Headers],[Number]]), "00")</f>
        <v>37</v>
      </c>
      <c r="D51" s="75" t="s">
        <v>181</v>
      </c>
      <c r="E51" s="215">
        <v>2021</v>
      </c>
      <c r="F51" s="216">
        <v>28.67</v>
      </c>
      <c r="G51" s="216">
        <f>IFERROR(tbl_Wages[[#This Row],[Wage in price year of data source (without overhead)]]*INDEX(tbl_CPI[Index], MATCH(PriceYear, tbl_CPI[Year], 0))/INDEX(tbl_CPI[Index], MATCH(tbl_Wages[[#This Row],[Price year of data source]], tbl_CPI[Year], 0)), "")</f>
        <v>32.577704802259895</v>
      </c>
    </row>
    <row r="52" spans="2:9" s="213" customFormat="1" ht="17.25" customHeight="1" x14ac:dyDescent="0.3">
      <c r="B52" s="212" t="str">
        <v/>
      </c>
      <c r="C52" s="214" t="str">
        <f>TEXT(ROW(C52)-ROW(tbl_Wages[[#Headers],[Number]]), "00")</f>
        <v>38</v>
      </c>
      <c r="D52" s="75" t="s">
        <v>182</v>
      </c>
      <c r="E52" s="215">
        <v>2021</v>
      </c>
      <c r="F52" s="216">
        <v>32.07</v>
      </c>
      <c r="G52" s="216">
        <f>IFERROR(tbl_Wages[[#This Row],[Wage in price year of data source (without overhead)]]*INDEX(tbl_CPI[Index], MATCH(PriceYear, tbl_CPI[Year], 0))/INDEX(tbl_CPI[Index], MATCH(tbl_Wages[[#This Row],[Price year of data source]], tbl_CPI[Year], 0)), "")</f>
        <v>36.441122881355938</v>
      </c>
    </row>
    <row r="53" spans="2:9" s="213" customFormat="1" ht="17.25" customHeight="1" x14ac:dyDescent="0.3">
      <c r="B53" s="212" t="str">
        <v/>
      </c>
      <c r="C53" s="214" t="str">
        <f>TEXT(ROW(C53)-ROW(tbl_Wages[[#Headers],[Number]]), "00")</f>
        <v>39</v>
      </c>
      <c r="D53" s="75" t="s">
        <v>183</v>
      </c>
      <c r="E53" s="215">
        <v>2021</v>
      </c>
      <c r="F53" s="216">
        <v>32.549999999999997</v>
      </c>
      <c r="G53" s="216">
        <f>IFERROR(tbl_Wages[[#This Row],[Wage in price year of data source (without overhead)]]*INDEX(tbl_CPI[Index], MATCH(PriceYear, tbl_CPI[Year], 0))/INDEX(tbl_CPI[Index], MATCH(tbl_Wages[[#This Row],[Price year of data source]], tbl_CPI[Year], 0)), "")</f>
        <v>36.986546610169491</v>
      </c>
    </row>
    <row r="54" spans="2:9" s="213" customFormat="1" ht="17.25" customHeight="1" x14ac:dyDescent="0.3">
      <c r="B54" s="212" t="str">
        <v/>
      </c>
      <c r="C54" s="214" t="str">
        <f>TEXT(ROW(C54)-ROW(tbl_Wages[[#Headers],[Number]]), "00")</f>
        <v>40</v>
      </c>
      <c r="D54" s="75" t="s">
        <v>184</v>
      </c>
      <c r="E54" s="215">
        <v>2021</v>
      </c>
      <c r="F54" s="216">
        <v>22.13</v>
      </c>
      <c r="G54" s="216">
        <f>IFERROR(tbl_Wages[[#This Row],[Wage in price year of data source (without overhead)]]*INDEX(tbl_CPI[Index], MATCH(PriceYear, tbl_CPI[Year], 0))/INDEX(tbl_CPI[Index], MATCH(tbl_Wages[[#This Row],[Price year of data source]], tbl_CPI[Year], 0)), "")</f>
        <v>25.146306497175143</v>
      </c>
    </row>
    <row r="55" spans="2:9" s="213" customFormat="1" ht="17.25" customHeight="1" x14ac:dyDescent="0.3">
      <c r="B55" s="212" t="str">
        <v/>
      </c>
      <c r="C55" s="214" t="str">
        <f>TEXT(ROW(C55)-ROW(tbl_Wages[[#Headers],[Number]]), "00")</f>
        <v>41</v>
      </c>
      <c r="D55" s="75" t="s">
        <v>185</v>
      </c>
      <c r="E55" s="215">
        <v>2021</v>
      </c>
      <c r="F55" s="216">
        <v>24.95</v>
      </c>
      <c r="G55" s="216">
        <f>IFERROR(tbl_Wages[[#This Row],[Wage in price year of data source (without overhead)]]*INDEX(tbl_CPI[Index], MATCH(PriceYear, tbl_CPI[Year], 0))/INDEX(tbl_CPI[Index], MATCH(tbl_Wages[[#This Row],[Price year of data source]], tbl_CPI[Year], 0)), "")</f>
        <v>28.350670903954803</v>
      </c>
    </row>
    <row r="56" spans="2:9" s="213" customFormat="1" ht="17.25" customHeight="1" x14ac:dyDescent="0.3">
      <c r="B56" s="212" t="str">
        <v/>
      </c>
      <c r="C56" s="214" t="str">
        <f>TEXT(ROW(C56)-ROW(tbl_Wages[[#Headers],[Number]]), "00")</f>
        <v>42</v>
      </c>
      <c r="D56" s="75" t="s">
        <v>186</v>
      </c>
      <c r="E56" s="215">
        <v>2021</v>
      </c>
      <c r="F56" s="216">
        <v>24.09</v>
      </c>
      <c r="G56" s="216">
        <f>IFERROR(tbl_Wages[[#This Row],[Wage in price year of data source (without overhead)]]*INDEX(tbl_CPI[Index], MATCH(PriceYear, tbl_CPI[Year], 0))/INDEX(tbl_CPI[Index], MATCH(tbl_Wages[[#This Row],[Price year of data source]], tbl_CPI[Year], 0)), "")</f>
        <v>27.373453389830509</v>
      </c>
    </row>
    <row r="57" spans="2:9" s="213" customFormat="1" ht="17.25" customHeight="1" x14ac:dyDescent="0.3">
      <c r="B57" s="212" t="str">
        <v/>
      </c>
      <c r="C57" s="214" t="str">
        <f>TEXT(ROW(C57)-ROW(tbl_Wages[[#Headers],[Number]]), "00")</f>
        <v>43</v>
      </c>
      <c r="D57" s="75" t="s">
        <v>187</v>
      </c>
      <c r="E57" s="215">
        <v>2021</v>
      </c>
      <c r="F57" s="216">
        <v>25.98</v>
      </c>
      <c r="G57" s="216">
        <f>IFERROR(tbl_Wages[[#This Row],[Wage in price year of data source (without overhead)]]*INDEX(tbl_CPI[Index], MATCH(PriceYear, tbl_CPI[Year], 0))/INDEX(tbl_CPI[Index], MATCH(tbl_Wages[[#This Row],[Price year of data source]], tbl_CPI[Year], 0)), "")</f>
        <v>29.521059322033899</v>
      </c>
      <c r="I57" s="217"/>
    </row>
    <row r="58" spans="2:9" s="213" customFormat="1" ht="17.25" customHeight="1" x14ac:dyDescent="0.3">
      <c r="B58" s="212" t="str">
        <v/>
      </c>
      <c r="C58" s="214" t="str">
        <f>TEXT(ROW(C58)-ROW(tbl_Wages[[#Headers],[Number]]), "00")</f>
        <v>44</v>
      </c>
      <c r="D58" s="75" t="s">
        <v>188</v>
      </c>
      <c r="E58" s="215">
        <v>2021</v>
      </c>
      <c r="F58" s="216">
        <v>35.32</v>
      </c>
      <c r="G58" s="216">
        <f>IFERROR(tbl_Wages[[#This Row],[Wage in price year of data source (without overhead)]]*INDEX(tbl_CPI[Index], MATCH(PriceYear, tbl_CPI[Year], 0))/INDEX(tbl_CPI[Index], MATCH(tbl_Wages[[#This Row],[Price year of data source]], tbl_CPI[Year], 0)), "")</f>
        <v>40.134096045197744</v>
      </c>
    </row>
    <row r="59" spans="2:9" s="213" customFormat="1" ht="17.25" customHeight="1" x14ac:dyDescent="0.3">
      <c r="B59" s="212" t="str">
        <v/>
      </c>
      <c r="C59" s="214" t="str">
        <f>TEXT(ROW(C59)-ROW(tbl_Wages[[#Headers],[Number]]), "00")</f>
        <v>45</v>
      </c>
      <c r="D59" s="75" t="s">
        <v>189</v>
      </c>
      <c r="E59" s="215">
        <v>2021</v>
      </c>
      <c r="F59" s="216">
        <v>20.99</v>
      </c>
      <c r="G59" s="216">
        <f>IFERROR(tbl_Wages[[#This Row],[Wage in price year of data source (without overhead)]]*INDEX(tbl_CPI[Index], MATCH(PriceYear, tbl_CPI[Year], 0))/INDEX(tbl_CPI[Index], MATCH(tbl_Wages[[#This Row],[Price year of data source]], tbl_CPI[Year], 0)), "")</f>
        <v>23.850925141242936</v>
      </c>
    </row>
    <row r="60" spans="2:9" s="213" customFormat="1" ht="17.25" customHeight="1" x14ac:dyDescent="0.3">
      <c r="B60" s="212" t="str">
        <v/>
      </c>
      <c r="C60" s="214" t="str">
        <f>TEXT(ROW(C60)-ROW(tbl_Wages[[#Headers],[Number]]), "00")</f>
        <v>46</v>
      </c>
      <c r="D60" s="75" t="s">
        <v>190</v>
      </c>
      <c r="E60" s="215">
        <v>2021</v>
      </c>
      <c r="F60" s="216">
        <v>21.16</v>
      </c>
      <c r="G60" s="216">
        <f>IFERROR(tbl_Wages[[#This Row],[Wage in price year of data source (without overhead)]]*INDEX(tbl_CPI[Index], MATCH(PriceYear, tbl_CPI[Year], 0))/INDEX(tbl_CPI[Index], MATCH(tbl_Wages[[#This Row],[Price year of data source]], tbl_CPI[Year], 0)), "")</f>
        <v>24.044096045197744</v>
      </c>
    </row>
    <row r="61" spans="2:9" s="213" customFormat="1" ht="17.25" customHeight="1" x14ac:dyDescent="0.3">
      <c r="B61" s="212" t="str">
        <v/>
      </c>
      <c r="C61" s="214" t="str">
        <f>TEXT(ROW(C61)-ROW(tbl_Wages[[#Headers],[Number]]), "00")</f>
        <v>47</v>
      </c>
      <c r="D61" s="75" t="s">
        <v>191</v>
      </c>
      <c r="E61" s="215">
        <v>2021</v>
      </c>
      <c r="F61" s="216">
        <v>24.85</v>
      </c>
      <c r="G61" s="216">
        <f>IFERROR(tbl_Wages[[#This Row],[Wage in price year of data source (without overhead)]]*INDEX(tbl_CPI[Index], MATCH(PriceYear, tbl_CPI[Year], 0))/INDEX(tbl_CPI[Index], MATCH(tbl_Wages[[#This Row],[Price year of data source]], tbl_CPI[Year], 0)), "")</f>
        <v>28.237040960451981</v>
      </c>
    </row>
    <row r="62" spans="2:9" s="213" customFormat="1" ht="17.25" customHeight="1" x14ac:dyDescent="0.3">
      <c r="B62" s="212" t="str">
        <v/>
      </c>
      <c r="C62" s="214" t="str">
        <f>TEXT(ROW(C62)-ROW(tbl_Wages[[#Headers],[Number]]), "00")</f>
        <v>48</v>
      </c>
      <c r="D62" s="75" t="s">
        <v>192</v>
      </c>
      <c r="E62" s="215">
        <v>2021</v>
      </c>
      <c r="F62" s="216">
        <v>35.049999999999997</v>
      </c>
      <c r="G62" s="216">
        <f>IFERROR(tbl_Wages[[#This Row],[Wage in price year of data source (without overhead)]]*INDEX(tbl_CPI[Index], MATCH(PriceYear, tbl_CPI[Year], 0))/INDEX(tbl_CPI[Index], MATCH(tbl_Wages[[#This Row],[Price year of data source]], tbl_CPI[Year], 0)), "")</f>
        <v>39.827295197740114</v>
      </c>
    </row>
    <row r="63" spans="2:9" s="213" customFormat="1" ht="17.25" customHeight="1" x14ac:dyDescent="0.3">
      <c r="B63" s="212" t="str">
        <v/>
      </c>
      <c r="C63" s="214" t="str">
        <f>TEXT(ROW(C63)-ROW(tbl_Wages[[#Headers],[Number]]), "00")</f>
        <v>49</v>
      </c>
      <c r="D63" s="75" t="s">
        <v>193</v>
      </c>
      <c r="E63" s="215">
        <v>2021</v>
      </c>
      <c r="F63" s="216">
        <v>22.37</v>
      </c>
      <c r="G63" s="216">
        <f>IFERROR(tbl_Wages[[#This Row],[Wage in price year of data source (without overhead)]]*INDEX(tbl_CPI[Index], MATCH(PriceYear, tbl_CPI[Year], 0))/INDEX(tbl_CPI[Index], MATCH(tbl_Wages[[#This Row],[Price year of data source]], tbl_CPI[Year], 0)), "")</f>
        <v>25.419018361581923</v>
      </c>
    </row>
    <row r="64" spans="2:9" s="213" customFormat="1" ht="17.25" customHeight="1" x14ac:dyDescent="0.3">
      <c r="B64" s="212" t="str">
        <v/>
      </c>
      <c r="C64" s="214" t="str">
        <f>TEXT(ROW(C64)-ROW(tbl_Wages[[#Headers],[Number]]), "00")</f>
        <v>50</v>
      </c>
      <c r="D64" s="75" t="s">
        <v>194</v>
      </c>
      <c r="E64" s="215">
        <v>2021</v>
      </c>
      <c r="F64" s="216">
        <v>22.94</v>
      </c>
      <c r="G64" s="216">
        <f>IFERROR(tbl_Wages[[#This Row],[Wage in price year of data source (without overhead)]]*INDEX(tbl_CPI[Index], MATCH(PriceYear, tbl_CPI[Year], 0))/INDEX(tbl_CPI[Index], MATCH(tbl_Wages[[#This Row],[Price year of data source]], tbl_CPI[Year], 0)), "")</f>
        <v>26.066709039548027</v>
      </c>
    </row>
    <row r="65" spans="2:8" s="213" customFormat="1" ht="17.25" customHeight="1" x14ac:dyDescent="0.3">
      <c r="B65" s="212" t="str">
        <v/>
      </c>
      <c r="C65" s="214" t="str">
        <f>TEXT(ROW(C65)-ROW(tbl_Wages[[#Headers],[Number]]), "00")</f>
        <v>51</v>
      </c>
      <c r="D65" s="76" t="s">
        <v>195</v>
      </c>
      <c r="E65" s="215">
        <v>2021</v>
      </c>
      <c r="F65" s="216">
        <v>19.61</v>
      </c>
      <c r="G65" s="218">
        <f>IFERROR(tbl_Wages[[#This Row],[Wage in price year of data source (without overhead)]]*INDEX(tbl_CPI[Index], MATCH(PriceYear, tbl_CPI[Year], 0))/INDEX(tbl_CPI[Index], MATCH(tbl_Wages[[#This Row],[Price year of data source]], tbl_CPI[Year], 0)), "")</f>
        <v>22.282831920903956</v>
      </c>
      <c r="H65" s="219"/>
    </row>
    <row r="66" spans="2:8" s="213" customFormat="1" ht="17.25" customHeight="1" x14ac:dyDescent="0.3">
      <c r="B66" s="212" t="str">
        <v>Type Here ⮚</v>
      </c>
      <c r="C66" s="214" t="str">
        <f>TEXT(ROW(C66)-ROW(tbl_Wages[[#Headers],[Number]]), "00")</f>
        <v>52</v>
      </c>
      <c r="D66" s="77" t="s">
        <v>286</v>
      </c>
      <c r="E66" s="220"/>
      <c r="F66" s="221"/>
      <c r="G66" s="216" t="str">
        <f>IFERROR(tbl_Wages[[#This Row],[Wage in price year of data source (without overhead)]]*INDEX(tbl_CPI[Index], MATCH(PriceYear, tbl_CPI[Year], 0))/INDEX(tbl_CPI[Index], MATCH(tbl_Wages[[#This Row],[Price year of data source]], tbl_CPI[Year], 0)), "")</f>
        <v/>
      </c>
    </row>
    <row r="67" spans="2:8" s="213" customFormat="1" ht="17.25" customHeight="1" x14ac:dyDescent="0.3">
      <c r="B67" s="212" t="str">
        <v/>
      </c>
      <c r="F67" s="210"/>
      <c r="G67" s="210"/>
    </row>
    <row r="68" spans="2:8" s="213" customFormat="1" ht="17.25" customHeight="1" x14ac:dyDescent="0.3">
      <c r="B68" s="212"/>
      <c r="F68" s="210"/>
      <c r="G68" s="210"/>
    </row>
    <row r="69" spans="2:8" s="213" customFormat="1" ht="17.25" customHeight="1" x14ac:dyDescent="0.3">
      <c r="B69" s="212"/>
      <c r="F69" s="210"/>
      <c r="G69" s="210"/>
    </row>
    <row r="70" spans="2:8" s="213" customFormat="1" ht="17.25" customHeight="1" x14ac:dyDescent="0.3">
      <c r="B70" s="212"/>
      <c r="F70" s="210"/>
      <c r="G70" s="210"/>
    </row>
    <row r="71" spans="2:8" s="213" customFormat="1" ht="17.25" customHeight="1" x14ac:dyDescent="0.3">
      <c r="B71" s="212"/>
      <c r="F71" s="210"/>
      <c r="G71" s="210"/>
    </row>
    <row r="72" spans="2:8" s="213" customFormat="1" ht="17.25" customHeight="1" x14ac:dyDescent="0.3">
      <c r="B72" s="212"/>
      <c r="F72" s="210"/>
      <c r="G72" s="210"/>
    </row>
    <row r="73" spans="2:8" s="213" customFormat="1" ht="17.25" customHeight="1" x14ac:dyDescent="0.3">
      <c r="B73" s="212"/>
      <c r="F73" s="210"/>
      <c r="G73" s="210"/>
    </row>
    <row r="74" spans="2:8" s="213" customFormat="1" ht="17.25" customHeight="1" x14ac:dyDescent="0.3">
      <c r="B74" s="212"/>
      <c r="F74" s="210"/>
      <c r="G74" s="210"/>
    </row>
    <row r="75" spans="2:8" s="213" customFormat="1" ht="17.25" customHeight="1" x14ac:dyDescent="0.3">
      <c r="B75" s="212"/>
      <c r="F75" s="210"/>
      <c r="G75" s="210"/>
    </row>
    <row r="76" spans="2:8" s="213" customFormat="1" ht="17.25" customHeight="1" x14ac:dyDescent="0.3">
      <c r="B76" s="212"/>
      <c r="F76" s="210"/>
      <c r="G76" s="210"/>
    </row>
    <row r="77" spans="2:8" s="213" customFormat="1" ht="17.25" customHeight="1" x14ac:dyDescent="0.3">
      <c r="B77" s="212"/>
      <c r="F77" s="210"/>
      <c r="G77" s="210"/>
    </row>
    <row r="78" spans="2:8" s="213" customFormat="1" ht="17.25" customHeight="1" x14ac:dyDescent="0.3">
      <c r="B78" s="212"/>
      <c r="F78" s="210"/>
      <c r="G78" s="210"/>
    </row>
    <row r="79" spans="2:8" s="213" customFormat="1" ht="17.25" customHeight="1" x14ac:dyDescent="0.3">
      <c r="B79" s="212"/>
      <c r="F79" s="210"/>
      <c r="G79" s="210"/>
    </row>
    <row r="80" spans="2:8" s="213" customFormat="1" ht="17.25" customHeight="1" x14ac:dyDescent="0.3">
      <c r="B80" s="212"/>
      <c r="F80" s="210"/>
      <c r="G80" s="210"/>
    </row>
    <row r="81" spans="2:7" s="213" customFormat="1" ht="17.25" customHeight="1" x14ac:dyDescent="0.3">
      <c r="B81" s="212"/>
      <c r="F81" s="210"/>
      <c r="G81" s="210"/>
    </row>
    <row r="82" spans="2:7" s="213" customFormat="1" ht="17.25" customHeight="1" x14ac:dyDescent="0.3">
      <c r="B82" s="212"/>
      <c r="F82" s="210"/>
      <c r="G82" s="210"/>
    </row>
    <row r="83" spans="2:7" s="213" customFormat="1" ht="17.25" customHeight="1" x14ac:dyDescent="0.3">
      <c r="B83" s="212"/>
      <c r="F83" s="210"/>
      <c r="G83" s="210"/>
    </row>
    <row r="84" spans="2:7" s="213" customFormat="1" ht="17.25" customHeight="1" x14ac:dyDescent="0.3">
      <c r="B84" s="212"/>
      <c r="F84" s="210"/>
      <c r="G84" s="210"/>
    </row>
    <row r="85" spans="2:7" s="213" customFormat="1" ht="17.25" customHeight="1" x14ac:dyDescent="0.3">
      <c r="B85" s="212"/>
      <c r="F85" s="210"/>
      <c r="G85" s="210"/>
    </row>
    <row r="86" spans="2:7" s="213" customFormat="1" ht="17.25" customHeight="1" x14ac:dyDescent="0.3">
      <c r="B86" s="212"/>
      <c r="F86" s="210"/>
      <c r="G86" s="210"/>
    </row>
    <row r="87" spans="2:7" s="213" customFormat="1" ht="17.25" customHeight="1" x14ac:dyDescent="0.3">
      <c r="B87" s="212"/>
      <c r="F87" s="210"/>
      <c r="G87" s="210"/>
    </row>
    <row r="88" spans="2:7" s="213" customFormat="1" ht="17.25" customHeight="1" x14ac:dyDescent="0.3">
      <c r="B88" s="212"/>
      <c r="F88" s="210"/>
      <c r="G88" s="210"/>
    </row>
    <row r="89" spans="2:7" s="213" customFormat="1" ht="17.25" customHeight="1" x14ac:dyDescent="0.3">
      <c r="B89" s="212"/>
      <c r="F89" s="210"/>
      <c r="G89" s="210"/>
    </row>
    <row r="90" spans="2:7" s="213" customFormat="1" ht="17.25" customHeight="1" x14ac:dyDescent="0.3">
      <c r="B90" s="212"/>
      <c r="F90" s="210"/>
      <c r="G90" s="210"/>
    </row>
    <row r="91" spans="2:7" s="213" customFormat="1" ht="17.25" customHeight="1" x14ac:dyDescent="0.3">
      <c r="B91" s="212"/>
      <c r="F91" s="210"/>
      <c r="G91" s="210"/>
    </row>
    <row r="92" spans="2:7" s="213" customFormat="1" ht="17.25" customHeight="1" x14ac:dyDescent="0.3">
      <c r="B92" s="212"/>
      <c r="F92" s="210"/>
      <c r="G92" s="210"/>
    </row>
    <row r="93" spans="2:7" s="213" customFormat="1" ht="17.25" customHeight="1" x14ac:dyDescent="0.3">
      <c r="B93" s="212"/>
      <c r="F93" s="210"/>
      <c r="G93" s="210"/>
    </row>
    <row r="94" spans="2:7" s="213" customFormat="1" ht="17.25" customHeight="1" x14ac:dyDescent="0.3">
      <c r="B94" s="212"/>
      <c r="F94" s="210"/>
      <c r="G94" s="210"/>
    </row>
    <row r="95" spans="2:7" s="213" customFormat="1" ht="17.25" customHeight="1" x14ac:dyDescent="0.3">
      <c r="B95" s="212"/>
      <c r="F95" s="210"/>
      <c r="G95" s="210"/>
    </row>
    <row r="96" spans="2:7" s="213" customFormat="1" ht="17.25" customHeight="1" x14ac:dyDescent="0.3">
      <c r="B96" s="212"/>
      <c r="F96" s="210"/>
      <c r="G96" s="210"/>
    </row>
    <row r="97" spans="2:7" s="213" customFormat="1" ht="17.25" customHeight="1" x14ac:dyDescent="0.3">
      <c r="B97" s="212"/>
      <c r="F97" s="210"/>
      <c r="G97" s="210"/>
    </row>
    <row r="98" spans="2:7" s="213" customFormat="1" ht="17.25" customHeight="1" x14ac:dyDescent="0.3">
      <c r="B98" s="212"/>
      <c r="F98" s="210"/>
      <c r="G98" s="210"/>
    </row>
    <row r="99" spans="2:7" s="213" customFormat="1" ht="17.25" customHeight="1" x14ac:dyDescent="0.3">
      <c r="B99" s="212"/>
      <c r="F99" s="210"/>
      <c r="G99" s="210"/>
    </row>
    <row r="100" spans="2:7" s="213" customFormat="1" ht="17.25" customHeight="1" x14ac:dyDescent="0.3">
      <c r="B100" s="212"/>
      <c r="F100" s="210"/>
      <c r="G100" s="210"/>
    </row>
  </sheetData>
  <phoneticPr fontId="2"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6:E41" listDataValidation="1"/>
  </ignoredErrors>
  <drawing r:id="rId3"/>
  <tableParts count="1">
    <tablePart r:id="rId4"/>
  </tablePart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F38"/>
  <sheetViews>
    <sheetView showGridLines="0" topLeftCell="A5" zoomScaleNormal="100" workbookViewId="0">
      <selection activeCell="D37" sqref="D37"/>
    </sheetView>
  </sheetViews>
  <sheetFormatPr defaultColWidth="9.109375" defaultRowHeight="11.4" x14ac:dyDescent="0.2"/>
  <cols>
    <col min="1" max="1" width="2.44140625" style="11" customWidth="1"/>
    <col min="2" max="2" width="12.109375" style="11" customWidth="1"/>
    <col min="3" max="3" width="11" style="11" customWidth="1"/>
    <col min="4" max="4" width="11.5546875" style="11" customWidth="1"/>
    <col min="5" max="5" width="15.44140625" style="11" customWidth="1"/>
    <col min="6" max="6" width="11.44140625" style="11" bestFit="1" customWidth="1"/>
    <col min="7" max="7" width="15.5546875" style="11" customWidth="1"/>
    <col min="8" max="16384" width="9.109375" style="11"/>
  </cols>
  <sheetData>
    <row r="2" spans="2:4" ht="15.6" x14ac:dyDescent="0.3">
      <c r="C2" s="281" t="s">
        <v>196</v>
      </c>
    </row>
    <row r="14" spans="2:4" ht="12" x14ac:dyDescent="0.2">
      <c r="C14" s="42" t="s">
        <v>0</v>
      </c>
      <c r="D14" s="43" t="s">
        <v>197</v>
      </c>
    </row>
    <row r="15" spans="2:4" x14ac:dyDescent="0.2">
      <c r="B15" s="11" t="str" cm="1">
        <f t="array" ref="B15:B38">_xlfn.VSTACK(IF(tbl_CPI[Year]=tbl_CPI[Year], ""), "Type Here ⮚")</f>
        <v/>
      </c>
      <c r="C15" s="108">
        <v>2002</v>
      </c>
      <c r="D15" s="109">
        <v>100</v>
      </c>
    </row>
    <row r="16" spans="2:4" x14ac:dyDescent="0.2">
      <c r="B16" s="11" t="str">
        <v/>
      </c>
      <c r="C16" s="44">
        <v>2003</v>
      </c>
      <c r="D16" s="45">
        <v>102.8</v>
      </c>
    </row>
    <row r="17" spans="2:4" x14ac:dyDescent="0.2">
      <c r="B17" s="11" t="str">
        <v/>
      </c>
      <c r="C17" s="44">
        <v>2004</v>
      </c>
      <c r="D17" s="45">
        <v>104.7</v>
      </c>
    </row>
    <row r="18" spans="2:4" x14ac:dyDescent="0.2">
      <c r="B18" s="11" t="str">
        <v/>
      </c>
      <c r="C18" s="44">
        <v>2005</v>
      </c>
      <c r="D18" s="45">
        <v>107</v>
      </c>
    </row>
    <row r="19" spans="2:4" x14ac:dyDescent="0.2">
      <c r="B19" s="11" t="str">
        <v/>
      </c>
      <c r="C19" s="44">
        <v>2006</v>
      </c>
      <c r="D19" s="45">
        <v>109.1</v>
      </c>
    </row>
    <row r="20" spans="2:4" x14ac:dyDescent="0.2">
      <c r="B20" s="11" t="str">
        <v/>
      </c>
      <c r="C20" s="44">
        <v>2007</v>
      </c>
      <c r="D20" s="45">
        <v>111.5</v>
      </c>
    </row>
    <row r="21" spans="2:4" x14ac:dyDescent="0.2">
      <c r="B21" s="11" t="str">
        <v/>
      </c>
      <c r="C21" s="44">
        <v>2008</v>
      </c>
      <c r="D21" s="45">
        <v>114.1</v>
      </c>
    </row>
    <row r="22" spans="2:4" x14ac:dyDescent="0.2">
      <c r="B22" s="11" t="str">
        <v/>
      </c>
      <c r="C22" s="44">
        <v>2009</v>
      </c>
      <c r="D22" s="45">
        <v>114.4</v>
      </c>
    </row>
    <row r="23" spans="2:4" x14ac:dyDescent="0.2">
      <c r="B23" s="11" t="str">
        <v/>
      </c>
      <c r="C23" s="44">
        <v>2010</v>
      </c>
      <c r="D23" s="45">
        <v>116.5</v>
      </c>
    </row>
    <row r="24" spans="2:4" x14ac:dyDescent="0.2">
      <c r="B24" s="11" t="str">
        <v/>
      </c>
      <c r="C24" s="44">
        <v>2011</v>
      </c>
      <c r="D24" s="45">
        <v>119.9</v>
      </c>
    </row>
    <row r="25" spans="2:4" x14ac:dyDescent="0.2">
      <c r="B25" s="11" t="str">
        <v/>
      </c>
      <c r="C25" s="44">
        <v>2012</v>
      </c>
      <c r="D25" s="45">
        <v>121.7</v>
      </c>
    </row>
    <row r="26" spans="2:4" x14ac:dyDescent="0.2">
      <c r="B26" s="11" t="str">
        <v/>
      </c>
      <c r="C26" s="44">
        <v>2013</v>
      </c>
      <c r="D26" s="45">
        <v>122.8</v>
      </c>
    </row>
    <row r="27" spans="2:4" x14ac:dyDescent="0.2">
      <c r="B27" s="11" t="str">
        <v/>
      </c>
      <c r="C27" s="44">
        <v>2014</v>
      </c>
      <c r="D27" s="45">
        <v>125.2</v>
      </c>
    </row>
    <row r="28" spans="2:4" x14ac:dyDescent="0.2">
      <c r="B28" s="11" t="str">
        <v/>
      </c>
      <c r="C28" s="44">
        <v>2015</v>
      </c>
      <c r="D28" s="45">
        <v>126.6</v>
      </c>
    </row>
    <row r="29" spans="2:4" x14ac:dyDescent="0.2">
      <c r="B29" s="11" t="str">
        <v/>
      </c>
      <c r="C29" s="44">
        <v>2016</v>
      </c>
      <c r="D29" s="45">
        <v>128.4</v>
      </c>
    </row>
    <row r="30" spans="2:4" x14ac:dyDescent="0.2">
      <c r="B30" s="11" t="str">
        <v/>
      </c>
      <c r="C30" s="44">
        <v>2017</v>
      </c>
      <c r="D30" s="45">
        <v>130.4</v>
      </c>
    </row>
    <row r="31" spans="2:4" x14ac:dyDescent="0.2">
      <c r="B31" s="11" t="str">
        <v/>
      </c>
      <c r="C31" s="44">
        <v>2018</v>
      </c>
      <c r="D31" s="45">
        <v>133.4</v>
      </c>
    </row>
    <row r="32" spans="2:4" x14ac:dyDescent="0.2">
      <c r="B32" s="11" t="str">
        <v/>
      </c>
      <c r="C32" s="44">
        <v>2019</v>
      </c>
      <c r="D32" s="45">
        <v>136</v>
      </c>
    </row>
    <row r="33" spans="2:6" x14ac:dyDescent="0.2">
      <c r="B33" s="11" t="str">
        <v/>
      </c>
      <c r="C33" s="44">
        <v>2020</v>
      </c>
      <c r="D33" s="45">
        <v>137</v>
      </c>
    </row>
    <row r="34" spans="2:6" x14ac:dyDescent="0.2">
      <c r="B34" s="11" t="str">
        <v/>
      </c>
      <c r="C34" s="44">
        <v>2021</v>
      </c>
      <c r="D34" s="45">
        <v>141.6</v>
      </c>
    </row>
    <row r="35" spans="2:6" x14ac:dyDescent="0.2">
      <c r="B35" s="11" t="str">
        <v/>
      </c>
      <c r="C35" s="44">
        <v>2022</v>
      </c>
      <c r="D35" s="45">
        <v>151.19999999999999</v>
      </c>
    </row>
    <row r="36" spans="2:6" x14ac:dyDescent="0.2">
      <c r="B36" s="11" t="str">
        <v/>
      </c>
      <c r="C36" s="44">
        <v>2023</v>
      </c>
      <c r="D36" s="45">
        <v>157.1</v>
      </c>
    </row>
    <row r="37" spans="2:6" x14ac:dyDescent="0.2">
      <c r="B37" s="11" t="str">
        <v/>
      </c>
      <c r="C37" s="46">
        <v>2024</v>
      </c>
      <c r="D37" s="47">
        <v>160.9</v>
      </c>
      <c r="F37" s="280"/>
    </row>
    <row r="38" spans="2:6" x14ac:dyDescent="0.2">
      <c r="B38" s="11"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I64"/>
  <sheetViews>
    <sheetView zoomScale="70" zoomScaleNormal="70" workbookViewId="0"/>
  </sheetViews>
  <sheetFormatPr defaultColWidth="8.6640625" defaultRowHeight="14.4" x14ac:dyDescent="0.3"/>
  <cols>
    <col min="1" max="1" width="13.44140625" style="22" customWidth="1"/>
    <col min="2" max="2" width="23.109375" style="22" customWidth="1"/>
    <col min="3" max="3" width="22.109375" style="22" customWidth="1"/>
    <col min="4" max="4" width="11.44140625" style="22" customWidth="1"/>
    <col min="5" max="5" width="8.33203125" style="22" customWidth="1"/>
    <col min="6" max="6" width="9.6640625" style="22" customWidth="1"/>
    <col min="7" max="7" width="15.109375" style="22" customWidth="1"/>
    <col min="8" max="8" width="23" style="22" customWidth="1"/>
    <col min="9" max="9" width="12.5546875" style="22" customWidth="1"/>
    <col min="10" max="11" width="20.6640625" style="71" customWidth="1"/>
    <col min="12" max="12" width="20.44140625" style="71" customWidth="1"/>
    <col min="13" max="13" width="15" style="71" customWidth="1"/>
    <col min="14" max="14" width="20.109375" style="71" customWidth="1"/>
    <col min="15" max="15" width="18.88671875" style="71" customWidth="1"/>
    <col min="16" max="16" width="17" style="71" customWidth="1"/>
    <col min="17" max="17" width="18.5546875" style="71" customWidth="1"/>
    <col min="18" max="18" width="18.33203125" style="71" customWidth="1"/>
    <col min="19" max="20" width="17.109375" style="71" customWidth="1"/>
    <col min="21" max="21" width="16.5546875" style="71" customWidth="1"/>
    <col min="22" max="22" width="17.109375" style="71" customWidth="1"/>
    <col min="23" max="23" width="17.44140625" style="71" customWidth="1"/>
    <col min="24" max="24" width="19.5546875" style="71" customWidth="1"/>
    <col min="25" max="25" width="12.5546875" customWidth="1"/>
    <col min="26" max="26" width="26.109375" style="22" customWidth="1"/>
    <col min="27" max="27" width="23.88671875" customWidth="1"/>
    <col min="28" max="28" width="11.88671875" customWidth="1"/>
    <col min="29" max="29" width="13.44140625" customWidth="1"/>
    <col min="30" max="32" width="18" customWidth="1"/>
    <col min="33" max="33" width="14.5546875" customWidth="1"/>
    <col min="34" max="34" width="41.33203125" customWidth="1"/>
    <col min="35" max="36" width="15.44140625" customWidth="1"/>
    <col min="37" max="38" width="8.6640625" customWidth="1"/>
  </cols>
  <sheetData>
    <row r="1" spans="1:35" s="6" customFormat="1" ht="54.6" customHeight="1" x14ac:dyDescent="0.3">
      <c r="A1" s="136" t="s">
        <v>3</v>
      </c>
      <c r="B1" s="137" t="s">
        <v>4</v>
      </c>
      <c r="C1" s="137" t="s">
        <v>5</v>
      </c>
      <c r="D1" s="137" t="s">
        <v>311</v>
      </c>
      <c r="E1" s="137" t="s">
        <v>0</v>
      </c>
      <c r="F1" s="137" t="s">
        <v>6</v>
      </c>
      <c r="G1" s="137" t="s">
        <v>2</v>
      </c>
      <c r="H1" s="137" t="s">
        <v>7</v>
      </c>
      <c r="I1" s="137" t="s">
        <v>8</v>
      </c>
      <c r="J1" s="132" t="s">
        <v>9</v>
      </c>
      <c r="K1" s="132" t="s">
        <v>10</v>
      </c>
      <c r="L1" s="132" t="s">
        <v>11</v>
      </c>
      <c r="M1" s="132" t="str">
        <f>"Cost Per Event ("&amp;PriceYear&amp;" CAD)"</f>
        <v>Cost Per Event (2024 CAD)</v>
      </c>
      <c r="N1" s="131" t="s">
        <v>12</v>
      </c>
      <c r="O1" s="131" t="s">
        <v>13</v>
      </c>
      <c r="P1" s="131" t="s">
        <v>14</v>
      </c>
      <c r="Q1" s="132" t="s">
        <v>15</v>
      </c>
      <c r="R1" s="132" t="s">
        <v>16</v>
      </c>
      <c r="S1" s="132" t="s">
        <v>17</v>
      </c>
      <c r="T1" s="132" t="s">
        <v>18</v>
      </c>
      <c r="U1" s="132" t="s">
        <v>19</v>
      </c>
      <c r="V1" s="132" t="s">
        <v>20</v>
      </c>
      <c r="W1" s="132" t="s">
        <v>21</v>
      </c>
      <c r="X1" s="132" t="s">
        <v>22</v>
      </c>
      <c r="Y1"/>
      <c r="Z1" s="4" t="s">
        <v>23</v>
      </c>
      <c r="AA1" s="3" t="s">
        <v>24</v>
      </c>
      <c r="AB1" s="3" t="s">
        <v>25</v>
      </c>
      <c r="AC1" s="3" t="s">
        <v>26</v>
      </c>
      <c r="AD1" s="3" t="s">
        <v>27</v>
      </c>
      <c r="AE1" s="3" t="s">
        <v>28</v>
      </c>
      <c r="AF1" s="3" t="s">
        <v>29</v>
      </c>
      <c r="AG1" s="66"/>
      <c r="AH1" s="128" t="str">
        <f>"Breakdown by stakeholder group {undiscounted, discounted}:"</f>
        <v>Breakdown by stakeholder group {undiscounted, discounted}:</v>
      </c>
      <c r="AI1" s="130" t="str" cm="1">
        <f t="array" ref="AI1">IFERROR(_xlfn.LET(_xlpm.x, TRANSPOSE(_xlfn._xlws.FILTER(tbl_Stakeholders[Stakeholder Group], tbl_Stakeholders[Stakeholder Group]&lt;&gt;"")), _xlfn.HSTACK(_xlpm.x&amp;" Undiscounted Impacts", _xlpm.x&amp;" Discounted Impacts")), "")</f>
        <v/>
      </c>
    </row>
    <row r="2" spans="1:35" x14ac:dyDescent="0.3">
      <c r="A2" s="133" t="str" cm="1">
        <f t="array" ref="A2">repeat(Periods, ActivityNumber)</f>
        <v/>
      </c>
      <c r="B2" s="133" t="str" cm="1">
        <f t="array" ref="B2">IFERROR(INDEX(tbl_Activities[Activity],_xlfn.ANCHORARRAY( A2)), "")</f>
        <v/>
      </c>
      <c r="C2" s="133" t="str" cm="1">
        <f t="array" ref="C2">IFERROR(INDEX(tbl_Activities[Administrative or Compliance],_xlfn.ANCHORARRAY( A2)), "")</f>
        <v/>
      </c>
      <c r="D2" s="133" t="str" cm="1">
        <f t="array" ref="D2">IFERROR(INDEX(tbl_Activities[Cost or Benefit],_xlfn.ANCHORARRAY( A2)), "")</f>
        <v/>
      </c>
      <c r="E2" s="133" t="str" cm="1">
        <f t="array" ref="E2">IFERROR(
IF(_xlfn.ANCHORARRAY(Z2)="Start of Analytical Period", YearOfRegistration,
IF(_xlfn.ANCHORARRAY(Z2)="End of Analytical Period", YearOfRegistration+Time-1,_xlfn.ANCHORARRAY(
Z2)))
+ _xlfn.LET(_xlpm.x,_xlfn.ANCHORARRAY( F2)/_xlfn.BYROW(_xlfn.ANCHORARRAY(G2), _xlfn.LAMBDA(_xlpm.row, MAX(_xlpm.row, 1)))-1, ROUNDUP(IF(_xlpm.x&lt;0, 0, _xlpm.x), 0)), "")</f>
        <v/>
      </c>
      <c r="F2" s="134"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134" t="str" cm="1">
        <f t="array" ref="G2">IFERROR(IF(INDEX(tbl_Activities[Upfront or  Ongoing],_xlfn.ANCHORARRAY( A2))="Ongoing", INDEX(tbl_Activities[Annual Frequency],_xlfn.ANCHORARRAY( A2)), 1), "")</f>
        <v/>
      </c>
      <c r="H2" s="133" t="str" cm="1">
        <f t="array" ref="H2">IFERROR(INDEX(tbl_Activities[Affected Stakeholder Group],_xlfn.ANCHORARRAY( A2)), "")</f>
        <v/>
      </c>
      <c r="I2" s="138" t="str" cm="1">
        <f t="array" ref="I2">IFERROR(INDEX(tbl_Activities[Percent Affected],_xlfn.ANCHORARRAY( A2)), "")</f>
        <v/>
      </c>
      <c r="J2" s="139" t="str" cm="1">
        <f t="array" ref="J2">_xlfn.MAKEARRAY(OutputRows, 1, _xlfn.LAMBDA(_xlpm.r,_xlpm.c,
IF(INDEX(_xlfn.ANCHORARRAY(AA2), _xlpm.r)="All Businesses", 0, IF(INDEX(_xlfn.ANCHORARRAY(AA2), _xlpm.r)="Med/Large Businesses", 0, IF(INDEX(_xlfn.ANCHORARRAY(AA2), _xlpm.r)="Small Businesses", 0,
_xlfn.LET(
_xlpm.Activity_Type, INDEX(_xlfn.ANCHORARRAY(AB2), _xlpm.r),
_xlpm.AllGroups, INDEX(_xlfn.ANCHORARRAY(H2), _xlpm.r)="All Groups",
_xlpm.period, INDEX(_xlfn.ANCHORARRAY(F2), _xlpm.r),
_xlpm.freq, INDEX(_xlfn.ANCHORARRAY(G2), _xlpm.r),
_xlpm.NBCounts, _xlfn._xlws.FILTER(tbl_Stakeholders[Non-business Count], tbl_Stakeholders[Stakeholder Group]&lt;&gt;""),
_xlpm.NBGrowth, _xlfn._xlws.FILTER(tbl_Stakeholders[Non-business Growth Rate], tbl_Stakeholders[Stakeholder Group]&lt;&gt;""),
_xlpm.Group_Index, INDEX(_xlfn.ANCHORARRAY(AF2), _xlpm.r),
_xlpm.p0, INDEX(_xlpm.NBCounts, _xlpm.Group_Index),
_xlpm.growth, INDEX(_xlpm.NBGrowth, _xlpm.Group_Index),
IFERROR(
INDEX(_xlfn.TAKE(_xlfn.DROP(I:I,MATCH($I$1,I:I,0)),_xlfn.XMATCH(,_xlfn.DROP(I:I,MATCH($I$1,I:I,0)))-1), _xlpm.r)*
IF(_xlpm.freq&lt;1,
_xlfn.LET(
_xlpm.mod, MOD(_xlfn.SEQUENCE(_xlpm.period)+1/_xlpm.freq-1, 1/_xlpm.freq),
IF(_xlpm.AllGroups,
     _xlfn.LET(
          _xlpm.NBCount_Growing, _xlfn._xlws.FILTER(_xlpm.NBCounts, _xlpm.NBGrowth&gt;0),
          _xlpm.NBGrowth_Growing, _xlfn._xlws.FILTER(_xlpm.NBGrowth, _xlpm.NBGrowth&gt;0),
          _xlpm.NBCount_NotGrowing, _xlfn._xlws.FILTER(_xlpm.NBCounts, _xlpm.NBGrowth&lt;=0),
          _xlpm.NBGrowth_NotGrowing, _xlfn._xlws.FILTER(_xlpm.NBGrowth, _xlpm.NBGrowth&lt;=0),
     IF(_xlpm.Activity_Type=1, _xlfn.LET(
          _xlpm.a, IFERROR(_xlfn.MAKEARRAY(_xlpm.period, 1, _xlfn.LAMBDA(_xlpm.i,_xlpm.j, IF(_xlpm.i=1, SUMPRODUCT(_xlpm.NBCount_Growing, (1+_xlpm.NBGrowth_Growing)^(INDEX(_xlfn.ANCHORARRAY(AD2), _xlpm.r)+1)), SUMPRODUCT(_xlpm.NBCount_Growing, _xlpm.NBGrowth_Growing, (1+_xlpm.NBGrowth_Growing)^(INDEX(_xlfn.ANCHORARRAY(AD2), _xlpm.r)+_xlpm.i-1))))), 0),
          _xlpm.b, IFERROR(_xlfn.MAKEARRAY(_xlpm.period, 1, _xlfn.LAMBDA(_xlpm.i,_xlpm.j, IF(_xlpm.i=1, SUMPRODUCT(_xlpm.NBCount_NotGrowing, (1+_xlpm.NBGrowth_NotGrowing)^(INDEX(_xlfn.ANCHORARRAY(AD2), _xlpm.r)+1)), IF(INDEX(_xlpm.mod, _xlpm.i)=0, SUMPRODUCT(_xlpm.NBCount_NotGrowing, (1+_xlpm.NBGrowth_NotGrowing)^INDEX(_xlfn.ANCHORARRAY(AC2), _xlpm.r)), 0)))), 0),
          SUM(_xlfn._xlws.FILTER(_xlpm.a, _xlpm.mod=INDEX(_xlpm.mod, _xlpm.period)), _xlfn.TAKE(_xlpm.b, -1))),
     IF(_xlpm.Activity_Type=2, IF(INDEX(_xlpm.mod, _xlpm.r)&gt;0, 0, SUM(IFERROR(SUMPRODUCT(_xlpm.NBCount_Growing, (1+_xlpm.NBGrowth_Growing)^INDEX(_xlfn.ANCHORARRAY(AD2), _xlpm.r)), 0), IFERROR(SUMPRODUCT(_xlpm.NBCount_NotGrowing, (1+_xlpm.NBGrowth_NotGrowing)^INDEX(_xlfn.ANCHORARRAY(AC2), _xlpm.r)), 0))),
     IF(_xlpm.Activity_Type=3, _xlfn.LET(_xlpm.a, IFERROR(_xlfn.MAKEARRAY(_xlpm.period, 1, _xlfn.LAMBDA(_xlpm.i,_xlpm.j, SUMPRODUCT(_xlpm.NBCount_Growing, _xlpm.NBGrowth_Growing, (1+_xlpm.NBGrowth_Growing)^(INDEX(_xlfn.ANCHORARRAY(AD2),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SUMPRODUCT(_xlpm.NBCounts, (1+_xlpm.NBGrowth)^INDEX(_xlfn.ANCHORARRAY(AC2), _xlpm.r)), _xlpm.p0*(1+_xlpm.growth)^INDEX(_xlfn.ANCHORARRAY(AC2), _xlpm.r)),
IF(_xlpm.Activity_Type=2, IF(_xlpm.AllGroups, SUMPRODUCT(_xlpm.NBCounts, (1+_xlpm.NBGrowth)^IF(_xlpm.NBGrowth&lt;0, INDEX(_xlfn.ANCHORARRAY(AC2), _xlpm.r), INDEX(_xlfn.ANCHORARRAY(AD2), _xlpm.r))), _xlpm.p0*(1+_xlpm.growth)^IF(_xlpm.growth&lt;0, INDEX(_xlfn.ANCHORARRAY(AC2), _xlpm.r), INDEX(_xlfn.ANCHORARRAY(AD2), _xlpm.r))),
IF(_xlpm.Activity_Type=3, IF(_xlpm.AllGroups, SUMPRODUCT(_xlpm.NBCounts, (1+IF(_xlpm.NBGrowth&lt;0, 0, _xlpm.NBGrowth))^INDEX(_xlfn.ANCHORARRAY(AC2), _xlpm.r)-(1+IF(_xlpm.NBGrowth&lt;0, 0, _xlpm.NBGrowth))^INDEX(_xlfn.ANCHORARRAY(AD2), _xlpm.r)), IF(_xlpm.growth&lt;=0, 0, _xlpm.p0*((1+_xlpm.growth)^INDEX(_xlfn.ANCHORARRAY(AC2), _xlpm.r)-(1+_xlpm.growth)^INDEX(_xlfn.ANCHORARRAY(AD2), _xlpm.r)))),
IF(_xlpm.Activity_Type=4, IF(_xlpm.AllGroups, IF(_xlpm.period=0, SUMPRODUCT(_xlpm.NBCounts, (1+_xlpm.NBGrowth)^INDEX(_xlfn.ANCHORARRAY(AC2), _xlpm.r)), _xlfn.LET(_xlpm.g, (1+IF(_xlpm.NBGrowth&lt;0, 0, _xlpm.NBGrowth)), SUMPRODUCT(_xlpm.NBCounts,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SUMPRODUCT(_xlpm.NBCounts, (1+_xlpm.NBGrowth)^INDEX(_xlfn.ANCHORARRAY(AC2), _xlpm.r))), IF(_xlpm.period&gt;0, 0, _xlpm.p0*(1+_xlpm.growth)^INDEX(_xlfn.ANCHORARRAY(AC2), _xlpm.r))),
IF(_xlpm.Activity_Type=6, IF(_xlpm.AllGroups, IF(_xlpm.period=0, 0, _xlfn.LET(_xlpm.g, (1+IF(_xlpm.NBGrowth&lt;0, 0, _xlpm.NBGrowth)), SUMPRODUCT(_xlpm.NBCounts, _xlpm.g^INDEX(_xlfn.ANCHORARRAY(AC2), _xlpm.r)-_xlpm.g^(INDEX(_xlfn.ANCHORARRAY(AC2), _xlpm.r-1))))), IF(_xlpm.period=0, 0, IF(_xlpm.growth&lt;0, 0, _xlpm.p0*((1+_xlpm.growth)^INDEX(_xlfn.ANCHORARRAY(AC2), _xlpm.r)-(1+_xlpm.growth)^INDEX(_xlfn.ANCHORARRAY(AC2), _xlpm.r-1))))),
0))))))), "")))))))</f>
        <v/>
      </c>
      <c r="K2" s="139" t="str" cm="1">
        <f t="array" ref="K2">_xlfn.MAKEARRAY(OutputRows, 1, _xlfn.LAMBDA(_xlpm.r,_xlpm.c,
IF(INDEX(_xlfn.ANCHORARRAY(AA2), _xlpm.r)="Med/Large Businesses", 0, IF(INDEX(_xlfn.ANCHORARRAY(AA2), _xlpm.r)="All Non-Businesses", 0,
_xlfn.LET(
_xlpm.Activity_Type, INDEX(_xlfn.ANCHORARRAY(AB2), _xlpm.r),
_xlpm.AllGroups, INDEX(_xlfn.ANCHORARRAY(H2), _xlpm.r)="All Groups",
_xlpm.period, INDEX(_xlfn.ANCHORARRAY(F2), _xlpm.r),
_xlpm.freq, INDEX(_xlfn.ANCHORARRAY(G2), _xlpm.r),
_xlpm.SBCounts, _xlfn._xlws.FILTER(tbl_Stakeholders[Small Business Count], tbl_Stakeholders[Stakeholder Group]&lt;&gt;""),
_xlpm.SBGrowth, _xlfn._xlws.FILTER(tbl_Stakeholders[Small Business Growth Rate], tbl_Stakeholders[Stakeholder Group]&lt;&gt;""),
_xlpm.Group_Index, INDEX(_xlfn.ANCHORARRAY(AF2), _xlpm.r),
_xlpm.p0, INDEX(_xlpm.SBCounts, _xlpm.Group_Index),
_xlpm.growth, INDEX(_xlpm.SBGrowth, _xlpm.Group_Index),
IFERROR(
INDEX(_xlfn.TAKE(_xlfn.DROP(I:I,MATCH($I$1,I:I,0)),_xlfn.XMATCH(,_xlfn.DROP(I:I,MATCH($I$1,I:I,0)))-1), _xlpm.r)*
IF(_xlpm.freq&lt;1,
_xlfn.LET(
_xlpm.mod, MOD(_xlfn.SEQUENCE(_xlpm.period)+1/_xlpm.freq-1, 1/_xlpm.freq),
IF(_xlpm.AllGroups,
     _xlfn.LET(
          _xlpm.SBCount_Growing, _xlfn._xlws.FILTER(_xlpm.SBCounts, _xlpm.SBGrowth&gt;0),
          _xlpm.SBGrowth_Growing, _xlfn._xlws.FILTER(_xlpm.SBGrowth, _xlpm.SBGrowth&gt;0),
          _xlpm.SBCount_NotGrowing, _xlfn._xlws.FILTER(_xlpm.SBCounts, _xlpm.SBGrowth&lt;=0),
          _xlpm.SBGrowth_NotGrowing, _xlfn._xlws.FILTER(_xlpm.SBGrowth, _xlpm.SBGrowth&lt;=0),
     IF(_xlpm.Activity_Type=1, _xlfn.LET(
          _xlpm.a, IFERROR(_xlfn.MAKEARRAY(_xlpm.period, 1, _xlfn.LAMBDA(_xlpm.i,_xlpm.j, IF(_xlpm.i=1, SUMPRODUCT(_xlpm.SBCount_Growing, (1+_xlpm.SBGrowth_Growing)^(INDEX(_xlfn.ANCHORARRAY(AD2), _xlpm.r)+1)), SUMPRODUCT(_xlpm.SBCount_Growing, _xlpm.SBGrowth_Growing, (1+_xlpm.SBGrowth_Growing)^(INDEX(_xlfn.ANCHORARRAY(AD2), _xlpm.r)+_xlpm.i-1))))), 0),
          _xlpm.b, IFERROR(_xlfn.MAKEARRAY(_xlpm.period, 1, _xlfn.LAMBDA(_xlpm.i,_xlpm.j, IF(_xlpm.i=1, SUMPRODUCT(_xlpm.SBCount_NotGrowing, (1+_xlpm.SBGrowth_NotGrowing)^(INDEX(_xlfn.ANCHORARRAY(AD2), _xlpm.r)+1)), IF(INDEX(_xlpm.mod, _xlpm.i)=0, SUMPRODUCT(_xlpm.SBCount_NotGrowing, (1+_xlpm.SBGrowth_NotGrowing)^INDEX(_xlfn.ANCHORARRAY(AC2), _xlpm.r)), 0)))), 0),
          SUM(_xlfn._xlws.FILTER(_xlpm.a, _xlpm.mod=INDEX(_xlpm.mod, _xlpm.period)), _xlfn.TAKE(_xlpm.b, -1))),
     IF(_xlpm.Activity_Type=2, IF(INDEX(_xlpm.mod, _xlpm.r)&gt;0, 0, SUM(IFERROR(SUMPRODUCT(_xlpm.SBCount_Growing, (1+_xlpm.SBGrowth_Growing)^INDEX(_xlfn.ANCHORARRAY(AD2), _xlpm.r)), 0), IFERROR(SUMPRODUCT(_xlpm.SBCount_NotGrowing, (1+_xlpm.SBGrowth_NotGrowing)^INDEX(_xlfn.ANCHORARRAY(AC2), _xlpm.r)), 0))),
     IF(_xlpm.Activity_Type=3, _xlfn.LET(_xlpm.a, IFERROR(_xlfn.MAKEARRAY(_xlpm.period, 1, _xlfn.LAMBDA(_xlpm.i,_xlpm.j, SUMPRODUCT(_xlpm.SBCount_Growing, _xlpm.SBGrowth_Growing, (1+_xlpm.SBGrowth_Growing)^(INDEX(_xlfn.ANCHORARRAY(AD2),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SUMPRODUCT(_xlpm.SBCounts, (1+_xlpm.SBGrowth)^INDEX(_xlfn.ANCHORARRAY(AC2), _xlpm.r)), _xlpm.p0*(1+_xlpm.growth)^INDEX(_xlfn.ANCHORARRAY(AC2), _xlpm.r)),
IF(_xlpm.Activity_Type=2, IF(_xlpm.AllGroups, SUMPRODUCT(_xlpm.SBCounts, (1+_xlpm.SBGrowth)^IF(_xlpm.SBGrowth&lt;0, INDEX(_xlfn.ANCHORARRAY(AC2), _xlpm.r), INDEX(_xlfn.ANCHORARRAY(AD2), _xlpm.r))), _xlpm.p0*(1+_xlpm.growth)^IF(_xlpm.growth&lt;0, INDEX(_xlfn.ANCHORARRAY(AC2), _xlpm.r), INDEX(_xlfn.ANCHORARRAY(AD2), _xlpm.r))),
IF(_xlpm.Activity_Type=3, IF(_xlpm.AllGroups, SUMPRODUCT(_xlpm.SBCounts, (1+IF(_xlpm.SBGrowth&lt;0, 0, _xlpm.SBGrowth))^INDEX(_xlfn.ANCHORARRAY(AC2), _xlpm.r)-(1+IF(_xlpm.SBGrowth&lt;0, 0, _xlpm.SBGrowth))^INDEX(_xlfn.ANCHORARRAY(AD2), _xlpm.r)), IF(_xlpm.growth&lt;=0, 0, _xlpm.p0*((1+_xlpm.growth)^INDEX(_xlfn.ANCHORARRAY(AC2), _xlpm.r)-(1+_xlpm.growth)^INDEX(_xlfn.ANCHORARRAY(AD2), _xlpm.r)))),
IF(_xlpm.Activity_Type=4, IF(_xlpm.AllGroups, IF(_xlpm.period=0, SUMPRODUCT(_xlpm.SBCounts, (1+_xlpm.SBGrowth)^INDEX(_xlfn.ANCHORARRAY(AC2), _xlpm.r)), _xlfn.LET(_xlpm.g, (1+IF(_xlpm.SBGrowth&lt;0, 0, _xlpm.SBGrowth)), SUMPRODUCT(_xlpm.SBCounts,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SUMPRODUCT(_xlpm.SBCounts, (1+_xlpm.SBGrowth)^INDEX(_xlfn.ANCHORARRAY(AC2), _xlpm.r))), IF(_xlpm.period&gt;0, 0, _xlpm.p0*(1+_xlpm.growth)^INDEX(_xlfn.ANCHORARRAY(AC2), _xlpm.r))),
IF(_xlpm.Activity_Type=6, IF(_xlpm.AllGroups, IF(_xlpm.period=0, 0, _xlfn.LET(_xlpm.g, (1+IF(_xlpm.SBGrowth&lt;0, 0, _xlpm.SBGrowth)), SUMPRODUCT(_xlpm.SBCounts, _xlpm.g^INDEX(_xlfn.ANCHORARRAY(AC2), _xlpm.r)-_xlpm.g^(INDEX(_xlfn.ANCHORARRAY(AC2), _xlpm.r-1))))), IF(_xlpm.period=0, 0, IF(_xlpm.growth&lt;0, 0, _xlpm.p0*((1+_xlpm.growth)^INDEX(_xlfn.ANCHORARRAY(AC2), _xlpm.r)-(1+_xlpm.growth)^INDEX(_xlfn.ANCHORARRAY(AC2), _xlpm.r-1))))),
0))))))), ""))))))</f>
        <v/>
      </c>
      <c r="L2" s="139" t="str" cm="1">
        <f t="array" ref="L2">_xlfn.MAKEARRAY(OutputRows, 1, _xlfn.LAMBDA(_xlpm.r,_xlpm.c,
IF(INDEX(_xlfn.ANCHORARRAY(AA2), _xlpm.r)="Small Businesses", 0, IF(INDEX(_xlfn.ANCHORARRAY(AA2), _xlpm.r)="All Non-Businesses", 0,
_xlfn.LET(
_xlpm.Activity_Type, INDEX(_xlfn.ANCHORARRAY(AB2), _xlpm.r),
_xlpm.AllGroups, INDEX(_xlfn.ANCHORARRAY(H2), _xlpm.r)="All Groups",
_xlpm.period, INDEX(_xlfn.ANCHORARRAY(F2), _xlpm.r),
_xlpm.freq, INDEX(_xlfn.ANCHORARRAY(G2), _xlpm.r),
_xlpm.MLBCounts, _xlfn._xlws.FILTER(tbl_Stakeholders[Med/Large Business Count], tbl_Stakeholders[Stakeholder Group]&lt;&gt;""),
_xlpm.MLBGrowth, _xlfn._xlws.FILTER(tbl_Stakeholders[Med/Large Business Growth Rate], tbl_Stakeholders[Stakeholder Group]&lt;&gt;""),
_xlpm.Group_Index, INDEX(_xlfn.ANCHORARRAY(AF2), _xlpm.r),
_xlpm.p0, INDEX(_xlpm.MLBCounts, _xlpm.Group_Index),
_xlpm.growth, INDEX(_xlpm.MLBGrowth, _xlpm.Group_Index),
IFERROR(
INDEX(_xlfn.TAKE(_xlfn.DROP(I:I,MATCH($I$1,I:I,0)),_xlfn.XMATCH(,_xlfn.DROP(I:I,MATCH($I$1,I:I,0)))-1), _xlpm.r)*
IF(_xlpm.freq&lt;1,
_xlfn.LET(
_xlpm.mod, MOD(_xlfn.SEQUENCE(_xlpm.period)+1/_xlpm.freq-1, 1/_xlpm.freq),
IF(_xlpm.AllGroups,
     _xlfn.LET(
          _xlpm.MLBCount_Growing, _xlfn._xlws.FILTER(_xlpm.MLBCounts, _xlpm.MLBGrowth&gt;0),
          _xlpm.MLBGrowth_Growing, _xlfn._xlws.FILTER(_xlpm.MLBGrowth, _xlpm.MLBGrowth&gt;0),
          _xlpm.MLBCount_NotGrowing, _xlfn._xlws.FILTER(_xlpm.MLBCounts, _xlpm.MLBGrowth&lt;=0),
          _xlpm.MLBGrowth_NotGrowing, _xlfn._xlws.FILTER(_xlpm.MLBGrowth, _xlpm.MLBGrowth&lt;=0),
     IF(_xlpm.Activity_Type=1, _xlfn.LET(
          _xlpm.a, IFERROR(_xlfn.MAKEARRAY(_xlpm.period, 1, _xlfn.LAMBDA(_xlpm.i,_xlpm.j, IF(_xlpm.i=1, SUMPRODUCT(_xlpm.MLBCount_Growing, (1+_xlpm.MLBGrowth_Growing)^(INDEX(_xlfn.ANCHORARRAY(AD2), _xlpm.r)+1)), SUMPRODUCT(_xlpm.MLBCount_Growing, _xlpm.MLBGrowth_Growing, (1+_xlpm.MLBGrowth_Growing)^(INDEX(_xlfn.ANCHORARRAY(AD2), _xlpm.r)+_xlpm.i-1))))), 0),
          _xlpm.b, IFERROR(_xlfn.MAKEARRAY(_xlpm.period, 1, _xlfn.LAMBDA(_xlpm.i,_xlpm.j, IF(_xlpm.i=1, SUMPRODUCT(_xlpm.MLBCount_NotGrowing, (1+_xlpm.MLBGrowth_NotGrowing)^(INDEX(_xlfn.ANCHORARRAY(AD2), _xlpm.r)+1)), IF(INDEX(_xlpm.mod, _xlpm.i)=0, SUMPRODUCT(_xlpm.MLBCount_NotGrowing, (1+_xlpm.MLBGrowth_NotGrowing)^INDEX(_xlfn.ANCHORARRAY(AC2), _xlpm.r)), 0)))), 0),
          SUM(_xlfn._xlws.FILTER(_xlpm.a, _xlpm.mod=INDEX(_xlpm.mod, _xlpm.period)), _xlfn.TAKE(_xlpm.b, -1))),
     IF(_xlpm.Activity_Type=2, IF(INDEX(_xlpm.mod, _xlpm.r)&gt;0, 0, SUM(IFERROR(SUMPRODUCT(_xlpm.MLBCount_Growing, (1+_xlpm.MLBGrowth_Growing)^INDEX(_xlfn.ANCHORARRAY(AD2), _xlpm.r)), 0), IFERROR(SUMPRODUCT(_xlpm.MLBCount_NotGrowing, (1+_xlpm.MLBGrowth_NotGrowing)^INDEX(_xlfn.ANCHORARRAY(AC2), _xlpm.r)), 0))),
     IF(_xlpm.Activity_Type=3, _xlfn.LET(_xlpm.a, IFERROR(_xlfn.MAKEARRAY(_xlpm.period, 1, _xlfn.LAMBDA(_xlpm.i,_xlpm.j, SUMPRODUCT(_xlpm.MLBCount_Growing, _xlpm.MLBGrowth_Growing, (1+_xlpm.MLBGrowth_Growing)^(INDEX(_xlfn.ANCHORARRAY(AD2),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SUMPRODUCT(_xlpm.MLBCounts, (1+_xlpm.MLBGrowth)^INDEX(_xlfn.ANCHORARRAY(AC2), _xlpm.r)), _xlpm.p0*(1+_xlpm.growth)^INDEX(_xlfn.ANCHORARRAY(AC2), _xlpm.r)),
IF(_xlpm.Activity_Type=2, IF(_xlpm.AllGroups, SUMPRODUCT(_xlpm.MLBCounts, (1+_xlpm.MLBGrowth)^IF(_xlpm.MLBGrowth&lt;0, INDEX(_xlfn.ANCHORARRAY(AC2), _xlpm.r), INDEX(_xlfn.ANCHORARRAY(AD2), _xlpm.r))), _xlpm.p0*(1+_xlpm.growth)^IF(_xlpm.growth&lt;0, INDEX(_xlfn.ANCHORARRAY(AC2), _xlpm.r), INDEX(_xlfn.ANCHORARRAY(AD2), _xlpm.r))),
IF(_xlpm.Activity_Type=3, IF(_xlpm.AllGroups, SUMPRODUCT(_xlpm.MLBCounts, (1+IF(_xlpm.MLBGrowth&lt;0, 0, _xlpm.MLBGrowth))^INDEX(_xlfn.ANCHORARRAY(AC2), _xlpm.r)-(1+IF(_xlpm.MLBGrowth&lt;0, 0, _xlpm.MLBGrowth))^INDEX(_xlfn.ANCHORARRAY(AD2), _xlpm.r)), IF(_xlpm.growth&lt;=0, 0, _xlpm.p0*((1+_xlpm.growth)^INDEX(_xlfn.ANCHORARRAY(AC2), _xlpm.r)-(1+_xlpm.growth)^INDEX(_xlfn.ANCHORARRAY(AD2), _xlpm.r)))),
IF(_xlpm.Activity_Type=4, IF(_xlpm.AllGroups, IF(_xlpm.period=0, SUMPRODUCT(_xlpm.MLBCounts, (1+_xlpm.MLBGrowth)^INDEX(_xlfn.ANCHORARRAY(AC2), _xlpm.r)), _xlfn.LET(_xlpm.g, (1+IF(_xlpm.MLBGrowth&lt;0, 0, _xlpm.MLBGrowth)), SUMPRODUCT(_xlpm.MLBCounts,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SUMPRODUCT(_xlpm.MLBCounts, (1+_xlpm.MLBGrowth)^INDEX(_xlfn.ANCHORARRAY(AC2), _xlpm.r))), IF(_xlpm.period&gt;0, 0, _xlpm.p0*(1+_xlpm.growth)^INDEX(_xlfn.ANCHORARRAY(AC2), _xlpm.r))),
IF(_xlpm.Activity_Type=6, IF(_xlpm.AllGroups, IF(_xlpm.period=0, 0, _xlfn.LET(_xlpm.g, (1+IF(_xlpm.MLBGrowth&lt;0, 0, _xlpm.MLBGrowth)), SUMPRODUCT(_xlpm.MLBCounts, _xlpm.g^INDEX(_xlfn.ANCHORARRAY(AC2), _xlpm.r)-_xlpm.g^(INDEX(_xlfn.ANCHORARRAY(AC2), _xlpm.r-1))))), IF(_xlpm.period=0, 0, IF(_xlpm.growth&lt;0, 0, _xlpm.p0*((1+_xlpm.growth)^INDEX(_xlfn.ANCHORARRAY(AC2), _xlpm.r)-(1+_xlpm.growth)^INDEX(_xlfn.ANCHORARRAY(AC2), _xlpm.r-1))))),
0))))))), ""))))))</f>
        <v/>
      </c>
      <c r="M2" s="135"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(Hourly Wage Without Overhead)],_xlfn.ANCHORARRAY(A2)), 3),
     _xlpm.StaffWage, IFERROR(INDEX(_xlfn.ANCHORARRAY(Controls!J2), MATCH(_xlpm.StaffLevel, LEFT(_xlfn.ANCHORARRAY(Controls!I2), 3), 0)), IFERROR(INDEX(tbl_Activities[Labour: Staff Level (Hourly Wage Without Overhead)],_xlfn.ANCHORARRAY(A2)), "")),
     _xlpm.CostBenefit,IF(INDEX(tbl_Activities[Cost or Benefit],_xlfn.ANCHORARRAY( A2))="Cost",-1,1),
_xlpm.CostBenefit*IF(_xlpm.CapitalLabour="Labour",_xlpm.StaffWage*(1+_xlpm.InternalExternal)*INDEX(tbl_Activities[Labour: Time Spent (hours)],_xlfn.ANCHORARRAY(A2)), IF(_xlpm.CapitalLabour="Capital", 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135" cm="1">
        <f t="array" ref="N2">_xlfn.LET(
     _xlpm.AffectedNonBusinesses, _xlfn.TAKE(_xlfn.DROP(J:J,MATCH(J$1,J:J,0)),_xlfn.XMATCH(,_xlfn.DROP(J:J,MATCH(J$1,J:J,0)))-1),
IFERROR(_xlfn.ANCHORARRAY(M2)*_xlpm.AffectedNonBusinesses, 0))</f>
        <v>0</v>
      </c>
      <c r="O2" s="135" cm="1">
        <f t="array" ref="O2">_xlfn.LET(
     _xlpm.AffectedSmallBusinesses, _xlfn.TAKE(_xlfn.DROP(K:K,MATCH(K$1,K:K,0)),_xlfn.XMATCH(,_xlfn.DROP(K:K,MATCH(K$1,K:K,0)))-1),
IFERROR(_xlfn.ANCHORARRAY(M2)*_xlpm.AffectedSmallBusinesses, 0))</f>
        <v>0</v>
      </c>
      <c r="P2" s="135" cm="1">
        <f t="array" ref="P2">_xlfn.LET(
     _xlpm.AffectedMedLargeBusinesses, _xlfn.TAKE(_xlfn.DROP(L:L,MATCH(L$1,L:L,0)),_xlfn.XMATCH(,_xlfn.DROP(L:L,MATCH(L$1,L:L,0)))-1),
IFERROR(_xlfn.ANCHORARRAY(M2)*_xlpm.AffectedMedLargeBusinesses, 0))</f>
        <v>0</v>
      </c>
      <c r="Q2" s="135" cm="1">
        <f t="array" ref="Q2">IFERROR(_xlfn.ANCHORARRAY($O$2)+_xlfn.ANCHORARRAY($P$2),0)</f>
        <v>0</v>
      </c>
      <c r="R2" s="135" cm="1">
        <f t="array" ref="R2">IFERROR(_xlfn.ANCHORARRAY($Q$2)+_xlfn.ANCHORARRAY($N$2), 0)</f>
        <v>0</v>
      </c>
      <c r="S2" s="135" cm="1">
        <f t="array" ref="S2">IFERROR(_xlfn.ANCHORARRAY($N$2)/(1+Discount)^_xlfn.ANCHORARRAY($AE$2),0)</f>
        <v>0</v>
      </c>
      <c r="T2" s="135" cm="1">
        <f t="array" ref="T2">IFERROR(_xlfn.ANCHORARRAY($O$2)/(1+Discount)^_xlfn.ANCHORARRAY($AE$2),0)</f>
        <v>0</v>
      </c>
      <c r="U2" s="135" cm="1">
        <f t="array" ref="U2">IFERROR(_xlfn.ANCHORARRAY(P2)/(1+Discount)^_xlfn.ANCHORARRAY($AE$2),0)</f>
        <v>0</v>
      </c>
      <c r="V2" s="135" cm="1">
        <f t="array" ref="V2">IFERROR(_xlfn.ANCHORARRAY($T$2)+_xlfn.ANCHORARRAY($U$2), 0)</f>
        <v>0</v>
      </c>
      <c r="W2" s="135" cm="1">
        <f t="array" ref="W2">IFERROR(_xlfn.ANCHORARRAY($V$2)+_xlfn.ANCHORARRAY($S$2), 0)</f>
        <v>0</v>
      </c>
      <c r="X2" s="135" cm="1">
        <f t="array" ref="X2">IFERROR(--(_xlfn.ANCHORARRAY($C$2)="Administrative")*(_xlfn.ANCHORARRAY($O$2)+_xlfn.ANCHORARRAY($P$2))/(1.07)^_xlfn.ANCHORARRAY($AE$2), 0)</f>
        <v>0</v>
      </c>
      <c r="Y2" s="2"/>
      <c r="Z2" s="22" t="str" cm="1">
        <f t="array" ref="Z2">IFERROR(INDEX(tbl_Activities[Start Year],_xlfn.ANCHORARRAY( $A$2)), "")</f>
        <v/>
      </c>
      <c r="AA2" t="str" cm="1">
        <f t="array" ref="AA2">IFERROR(INDEX(tbl_Activities[Affected Stakeholder Type],_xlfn.ANCHORARRAY( A2)), "")</f>
        <v/>
      </c>
      <c r="AB2" s="135" t="str" cm="1">
        <f t="array" ref="AB2">IFERROR(INDEX(ActivityType,_xlfn.ANCHORARRAY( A2)), "")</f>
        <v/>
      </c>
      <c r="AC2" s="135" t="str" cm="1">
        <f t="array" ref="AC2">IFERROR(
_xlfn.LET(_xlpm.x,_xlfn.ANCHORARRAY( F2)/_xlfn.BYROW(_xlfn.ANCHORARRAY(G2), _xlfn.LAMBDA(_xlpm.row, MAX(_xlpm.row, 1))),
IF(_xlfn.ANCHORARRAY(Z2)="Start of Analytical Period", _xlpm.x,
IF(_xlfn.ANCHORARRAY(Z2)="End of Analytical Period", Time-1+_xlpm.x,_xlfn.ANCHORARRAY(
Z2)-YearOfRegistration+_xlpm.x))),
"")</f>
        <v/>
      </c>
      <c r="AD2" s="135" t="str" cm="1">
        <f t="array" ref="AD2">IFERROR(
IF(_xlfn.ANCHORARRAY(Z2)="Start of Analytical Period", 0,
IF(_xlfn.ANCHORARRAY(Z2)="End of Analytical Period", Time-1,_xlfn.ANCHORARRAY(
Z2)-YearOfRegistration)),
"")</f>
        <v/>
      </c>
      <c r="AE2" s="135" t="str" cm="1">
        <f t="array" ref="AE2">IFERROR(
_xlfn.LET(_xlpm.x,_xlfn.ANCHORARRAY( $F$2)/_xlfn.BYROW(_xlfn.ANCHORARRAY($G$2), _xlfn.LAMBDA(_xlpm.row, MAX(_xlpm.row, 1))),
IF(_xlfn.ANCHORARRAY(Z2)="Start of Analytical Period", (YearOfRegistration-PVBaseYear)+_xlpm.x,
IF(_xlfn.ANCHORARRAY(Z2)="End of Analytical Period", (YearOfRegistration-PVBaseYear)+Time-1+_xlpm.x,_xlfn.ANCHORARRAY(
Z2)-PVBaseYear+_xlpm.x))),
"")</f>
        <v/>
      </c>
      <c r="AF2" s="135" t="str" cm="1">
        <f t="array" ref="AF2">_xlfn.LET(
_xlpm.FilteredStakeholders, _xlfn._xlws.FILTER(tbl_Stakeholders[Stakeholder Group], tbl_Stakeholders[Stakeholder Group]&lt;&gt;""),
IFERROR(MATCH(INDEX(tbl_Activities[Affected Stakeholder Group],_xlfn.ANCHORARRAY( $A$2)), _xlpm.FilteredStakeholders, 0), ""))</f>
        <v/>
      </c>
      <c r="AI2" cm="1">
        <f t="array" ref="AI2">IFERROR(_xlfn.LET(_xlpm.x,_xlfn.ANCHORARRAY( R2)*_xlfn.MAKEARRAY(ROWS(_xlfn.ANCHORARRAY(A2)),StakeholderCols,_xlfn.LAMBDA(_xlpm.r,_xlpm.c, _xlfn.LET(
_xlpm.OneGroup, NOT(INDEX(_xlfn.ANCHORARRAY(H2), _xlpm.r)="All Groups"),
_xlpm.ThisGroup, IF(_xlpm.c=INDEX(_xlfn.ANCHORARRAY(AF2), _xlpm.r), 1, 0),
IF(_xlpm.OneGroup, _xlpm.ThisGroup,
_xlfn.LET(
_xlpm.Stakeholder_Type, INDEX(_xlfn.ANCHORARRAY(AA2), _xlpm.r),
_xlpm.AllBusinesses, _xlpm.Stakeholder_Type="All Businesses",
_xlpm.MedLargeBusinesses, _xlpm.Stakeholder_Type="Med/Large Businesses",
_xlpm.SmallBusinesses, _xlpm.Stakeholder_Type="Small Businesses",
_xlpm.NonBusinesseses, _xlpm.Stakeholder_Type="All Non-businesses",
_xlpm.Exp_SC, INDEX(_xlfn.ANCHORARRAY(AC2), _xlpm.r),
_xlpm.nbC, INDEX(_xlfn._xlws.FILTER(tbl_Stakeholders[Non-business Count], tbl_Stakeholders[Stakeholder Group]&lt;&gt;""), _xlpm.c),
_xlpm.nbG, INDEX(_xlfn._xlws.FILTER(tbl_Stakeholders[Non-business Growth Rate], tbl_Stakeholders[Stakeholder Group]&lt;&gt;""), _xlpm.c),
_xlpm.sbC, INDEX(_xlfn._xlws.FILTER(tbl_Stakeholders[Small Business Count], tbl_Stakeholders[Stakeholder Group]&lt;&gt;""), _xlpm.c),
_xlpm.sbG, INDEX(_xlfn._xlws.FILTER(tbl_Stakeholders[Small Business Growth Rate], tbl_Stakeholders[Stakeholder Group]&lt;&gt;""), _xlpm.c),
_xlpm.mlbC, INDEX(_xlfn._xlws.FILTER(tbl_Stakeholders[Med/Large Business Count], tbl_Stakeholders[Stakeholder Group]&lt;&gt;""), _xlpm.c),
_xlpm.mlbG, INDEX(_xlfn._xlws.FILTER(tbl_Stakeholders[Med/Large Business Growth Rate], tbl_Stakeholders[Stakeholder Group]&lt;&gt;""), _xlpm.c),
_xlpm.Counts,
     IF(_xlpm.AllBusinesses, _xlfn.VSTACK(_xlpm.sbC, _xlpm.mlbC),
     IF(_xlpm.MedLargeBusinesses, _xlpm.mlbC,
     IF(_xlpm.SmallBusinesses, _xlpm.sbC,
     IF(_xlpm.NonBusinesseses, _xlpm.nbC,
     _xlfn.VSTACK(_xlpm.nbC, _xlpm.sbC, _xlpm.mlbC))))),
_xlpm.Growths,
     IF(_xlpm.AllBusinesses, _xlfn.VSTACK(_xlpm.sbG, _xlpm.mlbG),
     IF(_xlpm.MedLargeBusinesses, _xlpm.mlbG,
     IF(_xlpm.SmallBusinesses, _xlpm.sbG,
     IF(_xlpm.NonBusinesseses, _xlpm.nbG,
     _xlfn.VSTACK(_xlpm.nbG, _xlpm.sbG, _xlpm.mlbG))))),
_xlpm.StakeholderWeightDenominator,
     IF(_xlpm.AllBusinesses, SUMPRODUCT(tbl_Stakeholders[Small Business Count], (1+tbl_Stakeholders[Small Business Growth Rate])^_xlpm.Exp_SC) + SUMPRODUCT(tbl_Stakeholders[Med/Large Business Count], (1+tbl_Stakeholders[Med/Large Business Growth Rate])^_xlpm.Exp_SC),
     IF(_xlpm.MedLargeBusinesses, SUMPRODUCT(tbl_Stakeholders[Med/Large Business Count], (1+tbl_Stakeholders[Med/Large Business Growth Rate])^_xlpm.Exp_SC),
     IF(_xlpm.SmallBusinesses, SUMPRODUCT(tbl_Stakeholders[Small Business Count], (1+tbl_Stakeholders[Small Business Growth Rate])^_xlpm.Exp_SC),
     IF(_xlpm.NonBusinesseses, SUMPRODUCT(tbl_Stakeholders[Non-business Count], (1+tbl_Stakeholders[Non-business Growth Rate])^_xlpm.Exp_SC),
     SUM(SUMPRODUCT(tbl_Stakeholders[Non-business Count], (1+tbl_Stakeholders[Non-business Growth Rate])^INDEX(_xlfn.ANCHORARRAY(AC2), _xlpm.r)), SUMPRODUCT(tbl_Stakeholders[Small Business Count], (1+tbl_Stakeholders[Small Business Growth Rate])^INDEX(_xlfn.ANCHORARRAY(AC2), _xlpm.r)), SUMPRODUCT(tbl_Stakeholders[Med/Large Business Count], (1+tbl_Stakeholders[Med/Large Business Growth Rate])^INDEX(_xlfn.ANCHORARRAY(AC2), _xlpm.r))))))),
SUM(_xlpm.Counts*(1+_xlpm.Growths)^_xlpm.Exp_SC)/_xlpm.StakeholderWeightDenominator))))),
_xlfn.HSTACK(_xlpm.x, _xlpm.x/(1+Discount)^_xlfn.ANCHORARRAY(AE2))), 0)</f>
        <v>0</v>
      </c>
    </row>
    <row r="3" spans="1:35" x14ac:dyDescent="0.3">
      <c r="A3" s="133"/>
      <c r="B3" s="133"/>
      <c r="C3" s="133"/>
      <c r="D3" s="133"/>
      <c r="E3" s="133"/>
      <c r="F3" s="134"/>
      <c r="G3" s="134"/>
      <c r="H3" s="133"/>
      <c r="I3" s="138"/>
      <c r="J3" s="139"/>
      <c r="K3" s="139"/>
      <c r="L3" s="139"/>
      <c r="M3" s="135"/>
      <c r="N3" s="135"/>
      <c r="O3" s="135"/>
      <c r="P3" s="135"/>
      <c r="Q3" s="135"/>
      <c r="R3" s="135"/>
      <c r="S3" s="135"/>
      <c r="T3" s="135"/>
      <c r="U3" s="135"/>
      <c r="V3" s="135"/>
      <c r="W3" s="135"/>
      <c r="X3" s="135"/>
      <c r="AB3" s="135"/>
      <c r="AC3" s="135"/>
      <c r="AD3" s="135"/>
      <c r="AE3" s="135"/>
      <c r="AF3" s="135"/>
    </row>
    <row r="4" spans="1:35" x14ac:dyDescent="0.3">
      <c r="A4" s="133"/>
      <c r="B4" s="133"/>
      <c r="C4" s="133"/>
      <c r="D4" s="133"/>
      <c r="E4" s="133"/>
      <c r="F4" s="134"/>
      <c r="G4" s="134"/>
      <c r="H4" s="133"/>
      <c r="I4" s="138"/>
      <c r="J4" s="139"/>
      <c r="K4" s="139"/>
      <c r="L4" s="139"/>
      <c r="M4" s="135"/>
      <c r="N4" s="135"/>
      <c r="O4" s="135"/>
      <c r="P4" s="135"/>
      <c r="Q4" s="135"/>
      <c r="R4" s="135"/>
      <c r="S4" s="135"/>
      <c r="T4" s="135"/>
      <c r="U4" s="135"/>
      <c r="V4" s="135"/>
      <c r="W4" s="135"/>
      <c r="X4" s="135"/>
      <c r="AB4" s="135"/>
      <c r="AC4" s="135"/>
      <c r="AD4" s="135"/>
      <c r="AE4" s="135"/>
      <c r="AF4" s="135"/>
    </row>
    <row r="5" spans="1:35" x14ac:dyDescent="0.3">
      <c r="A5" s="133"/>
      <c r="B5" s="133"/>
      <c r="C5" s="133"/>
      <c r="D5" s="133"/>
      <c r="E5" s="133"/>
      <c r="F5" s="134"/>
      <c r="G5" s="134"/>
      <c r="H5" s="133"/>
      <c r="I5" s="138"/>
      <c r="J5" s="139"/>
      <c r="K5" s="139"/>
      <c r="L5" s="139"/>
      <c r="M5" s="135"/>
      <c r="N5" s="135"/>
      <c r="O5" s="135"/>
      <c r="P5" s="135"/>
      <c r="Q5" s="135"/>
      <c r="R5" s="135"/>
      <c r="S5" s="135"/>
      <c r="T5" s="135"/>
      <c r="U5" s="135"/>
      <c r="V5" s="135"/>
      <c r="W5" s="135"/>
      <c r="X5" s="135"/>
      <c r="AB5" s="135"/>
      <c r="AC5" s="135"/>
      <c r="AD5" s="135"/>
      <c r="AE5" s="135"/>
      <c r="AF5" s="135"/>
    </row>
    <row r="6" spans="1:35" x14ac:dyDescent="0.3">
      <c r="A6" s="133"/>
      <c r="B6" s="133"/>
      <c r="C6" s="133"/>
      <c r="D6" s="133"/>
      <c r="E6" s="133"/>
      <c r="F6" s="134"/>
      <c r="G6" s="134"/>
      <c r="H6" s="133"/>
      <c r="I6" s="138"/>
      <c r="J6" s="139"/>
      <c r="K6" s="139"/>
      <c r="L6" s="139"/>
      <c r="M6" s="135"/>
      <c r="N6" s="135"/>
      <c r="O6" s="135"/>
      <c r="P6" s="135"/>
      <c r="Q6" s="135"/>
      <c r="R6" s="135"/>
      <c r="S6" s="135"/>
      <c r="T6" s="135"/>
      <c r="U6" s="135"/>
      <c r="V6" s="135"/>
      <c r="W6" s="135"/>
      <c r="X6" s="135"/>
      <c r="AA6" s="140"/>
      <c r="AB6" s="135"/>
      <c r="AC6" s="135"/>
      <c r="AD6" s="135"/>
      <c r="AE6" s="135"/>
      <c r="AF6" s="135"/>
    </row>
    <row r="7" spans="1:35" x14ac:dyDescent="0.3">
      <c r="A7" s="133"/>
      <c r="B7" s="133"/>
      <c r="C7" s="133"/>
      <c r="D7" s="133"/>
      <c r="E7" s="133"/>
      <c r="F7" s="133"/>
      <c r="G7" s="133"/>
      <c r="H7" s="133"/>
      <c r="I7" s="133"/>
      <c r="J7" s="135"/>
      <c r="K7" s="135"/>
      <c r="L7" s="135"/>
      <c r="M7" s="135"/>
      <c r="N7" s="135"/>
      <c r="O7" s="135"/>
      <c r="P7" s="135"/>
      <c r="Q7" s="135"/>
      <c r="R7" s="135"/>
      <c r="S7" s="135"/>
      <c r="T7" s="135"/>
      <c r="U7" s="135"/>
      <c r="V7" s="135"/>
      <c r="W7" s="135"/>
      <c r="X7" s="135"/>
      <c r="AB7" s="135"/>
      <c r="AC7" s="135"/>
      <c r="AD7" s="135"/>
      <c r="AE7" s="135"/>
      <c r="AF7" s="135"/>
    </row>
    <row r="8" spans="1:35" x14ac:dyDescent="0.3">
      <c r="A8" s="133"/>
      <c r="B8" s="133"/>
      <c r="C8" s="133"/>
      <c r="D8" s="133"/>
      <c r="E8" s="133"/>
      <c r="F8" s="134"/>
      <c r="G8" s="134"/>
      <c r="H8" s="133"/>
      <c r="I8" s="138"/>
      <c r="J8" s="139"/>
      <c r="K8" s="139"/>
      <c r="L8" s="139"/>
      <c r="M8" s="135"/>
      <c r="N8" s="135"/>
      <c r="O8" s="135"/>
      <c r="P8" s="135"/>
      <c r="Q8" s="135"/>
      <c r="R8" s="135"/>
      <c r="S8" s="135"/>
      <c r="T8" s="135"/>
      <c r="U8" s="135"/>
      <c r="V8" s="135"/>
      <c r="W8" s="135"/>
      <c r="X8" s="135"/>
      <c r="AB8" s="135"/>
      <c r="AC8" s="135"/>
      <c r="AD8" s="135"/>
      <c r="AE8" s="135"/>
      <c r="AF8" s="135"/>
    </row>
    <row r="9" spans="1:35" x14ac:dyDescent="0.3">
      <c r="A9" s="133"/>
      <c r="B9" s="133"/>
      <c r="C9" s="133"/>
      <c r="D9" s="133"/>
      <c r="E9" s="133"/>
      <c r="F9" s="134"/>
      <c r="G9" s="134"/>
      <c r="H9" s="133"/>
      <c r="I9" s="138"/>
      <c r="J9" s="139"/>
      <c r="K9" s="139"/>
      <c r="L9" s="139"/>
      <c r="M9" s="135"/>
      <c r="N9" s="135"/>
      <c r="O9" s="135"/>
      <c r="P9" s="135"/>
      <c r="Q9" s="135"/>
      <c r="R9" s="135"/>
      <c r="S9" s="135"/>
      <c r="T9" s="135"/>
      <c r="U9" s="135"/>
      <c r="V9" s="135"/>
      <c r="W9" s="135"/>
      <c r="X9" s="135"/>
      <c r="AB9" s="135"/>
      <c r="AC9" s="135"/>
      <c r="AD9" s="135"/>
      <c r="AE9" s="135"/>
      <c r="AF9" s="135"/>
    </row>
    <row r="10" spans="1:35" x14ac:dyDescent="0.3">
      <c r="A10" s="133"/>
      <c r="B10" s="133"/>
      <c r="C10" s="133"/>
      <c r="D10" s="133"/>
      <c r="E10" s="133"/>
      <c r="F10" s="134"/>
      <c r="G10" s="134"/>
      <c r="H10" s="133"/>
      <c r="I10" s="138"/>
      <c r="J10" s="139"/>
      <c r="K10" s="139"/>
      <c r="L10" s="139"/>
      <c r="M10" s="135"/>
      <c r="N10" s="135"/>
      <c r="O10" s="135"/>
      <c r="P10" s="135"/>
      <c r="Q10" s="135"/>
      <c r="R10" s="135"/>
      <c r="S10" s="135"/>
      <c r="T10" s="135"/>
      <c r="U10" s="135"/>
      <c r="V10" s="135"/>
      <c r="W10" s="135"/>
      <c r="X10" s="135"/>
      <c r="AB10" s="135"/>
      <c r="AC10" s="135"/>
      <c r="AD10" s="135"/>
      <c r="AE10" s="135"/>
      <c r="AF10" s="135"/>
    </row>
    <row r="11" spans="1:35" x14ac:dyDescent="0.3">
      <c r="A11" s="133"/>
      <c r="B11" s="133"/>
      <c r="C11" s="133"/>
      <c r="D11" s="133"/>
      <c r="E11" s="133"/>
      <c r="F11" s="134"/>
      <c r="G11" s="134"/>
      <c r="H11" s="133"/>
      <c r="I11" s="138"/>
      <c r="J11" s="139"/>
      <c r="K11" s="139"/>
      <c r="L11" s="139"/>
      <c r="M11" s="135"/>
      <c r="N11" s="135"/>
      <c r="O11" s="135"/>
      <c r="P11" s="135"/>
      <c r="Q11" s="135"/>
      <c r="R11" s="135"/>
      <c r="S11" s="135"/>
      <c r="T11" s="135"/>
      <c r="U11" s="135"/>
      <c r="V11" s="135"/>
      <c r="W11" s="135"/>
      <c r="X11" s="135"/>
      <c r="AB11" s="135"/>
      <c r="AC11" s="135"/>
      <c r="AD11" s="135"/>
      <c r="AE11" s="135"/>
      <c r="AF11" s="135"/>
    </row>
    <row r="12" spans="1:35" x14ac:dyDescent="0.3">
      <c r="A12" s="133"/>
      <c r="B12" s="133"/>
      <c r="C12" s="133"/>
      <c r="D12" s="133"/>
      <c r="E12" s="133"/>
      <c r="F12" s="133"/>
      <c r="G12" s="133"/>
      <c r="H12" s="133"/>
      <c r="I12" s="133"/>
      <c r="J12" s="135"/>
      <c r="K12" s="135"/>
      <c r="L12" s="135"/>
      <c r="M12" s="135"/>
      <c r="N12" s="135"/>
      <c r="O12" s="135"/>
      <c r="P12" s="135"/>
      <c r="Q12" s="135"/>
      <c r="R12" s="135"/>
      <c r="S12" s="135"/>
      <c r="T12" s="135"/>
      <c r="U12" s="135"/>
      <c r="V12" s="135"/>
      <c r="W12" s="135"/>
      <c r="X12" s="135"/>
      <c r="AB12" s="135"/>
      <c r="AC12" s="135"/>
      <c r="AD12" s="135"/>
      <c r="AE12" s="135"/>
      <c r="AF12" s="135"/>
    </row>
    <row r="13" spans="1:35" x14ac:dyDescent="0.3">
      <c r="A13" s="133"/>
      <c r="B13" s="133"/>
      <c r="C13" s="133"/>
      <c r="D13" s="133"/>
      <c r="E13" s="133"/>
      <c r="F13" s="133"/>
      <c r="G13" s="133"/>
      <c r="H13" s="133"/>
      <c r="I13" s="133"/>
      <c r="J13" s="135"/>
      <c r="K13" s="135"/>
      <c r="L13" s="135"/>
      <c r="M13" s="135"/>
      <c r="N13" s="135"/>
      <c r="O13" s="135"/>
      <c r="P13" s="135"/>
      <c r="Q13" s="135"/>
      <c r="R13" s="135"/>
      <c r="S13" s="135"/>
      <c r="T13" s="135"/>
      <c r="U13" s="135"/>
      <c r="V13" s="135"/>
      <c r="W13" s="135"/>
      <c r="X13" s="135"/>
      <c r="AB13" s="135"/>
      <c r="AC13" s="135"/>
      <c r="AD13" s="135"/>
      <c r="AE13" s="135"/>
      <c r="AF13" s="135"/>
    </row>
    <row r="14" spans="1:35" x14ac:dyDescent="0.3">
      <c r="A14" s="133"/>
      <c r="B14" s="133"/>
      <c r="C14" s="133"/>
      <c r="D14" s="133"/>
      <c r="E14" s="133"/>
      <c r="F14" s="133"/>
      <c r="G14" s="133"/>
      <c r="H14" s="133"/>
      <c r="I14" s="133"/>
      <c r="J14" s="135"/>
      <c r="K14" s="135"/>
      <c r="L14" s="135"/>
      <c r="M14" s="135"/>
      <c r="N14" s="135"/>
      <c r="O14" s="135"/>
      <c r="P14" s="135"/>
      <c r="Q14" s="135"/>
      <c r="R14" s="135"/>
      <c r="S14" s="135"/>
      <c r="T14" s="135"/>
      <c r="U14" s="135"/>
      <c r="V14" s="135"/>
      <c r="W14" s="135"/>
      <c r="X14" s="135"/>
      <c r="AB14" s="135"/>
      <c r="AC14" s="135"/>
      <c r="AD14" s="135"/>
      <c r="AE14" s="135"/>
      <c r="AF14" s="135"/>
    </row>
    <row r="15" spans="1:35" x14ac:dyDescent="0.3">
      <c r="A15" s="133"/>
      <c r="B15" s="133"/>
      <c r="C15" s="133"/>
      <c r="D15" s="133"/>
      <c r="E15" s="133"/>
      <c r="F15" s="133"/>
      <c r="G15" s="133"/>
      <c r="H15" s="133"/>
      <c r="I15" s="133"/>
      <c r="J15" s="135"/>
      <c r="K15" s="135"/>
      <c r="L15" s="135"/>
      <c r="M15" s="135"/>
      <c r="N15" s="135"/>
      <c r="O15" s="135"/>
      <c r="P15" s="135"/>
      <c r="Q15" s="135"/>
      <c r="R15" s="135"/>
      <c r="S15" s="135"/>
      <c r="T15" s="135"/>
      <c r="U15" s="135"/>
      <c r="V15" s="135"/>
      <c r="W15" s="135"/>
      <c r="X15" s="135"/>
      <c r="AB15" s="135"/>
      <c r="AC15" s="135"/>
      <c r="AD15" s="135"/>
      <c r="AE15" s="135"/>
      <c r="AF15" s="135"/>
    </row>
    <row r="16" spans="1:35" x14ac:dyDescent="0.3">
      <c r="A16" s="133"/>
      <c r="B16" s="133"/>
      <c r="C16" s="133"/>
      <c r="D16" s="133"/>
      <c r="E16" s="133"/>
      <c r="F16" s="133"/>
      <c r="G16" s="133"/>
      <c r="H16" s="133"/>
      <c r="I16" s="133"/>
      <c r="J16" s="135"/>
      <c r="K16" s="135"/>
      <c r="L16" s="135"/>
      <c r="M16" s="135"/>
      <c r="N16" s="135"/>
      <c r="O16" s="135"/>
      <c r="P16" s="135"/>
      <c r="Q16" s="135"/>
      <c r="R16" s="135"/>
      <c r="S16" s="135"/>
      <c r="T16" s="135"/>
      <c r="U16" s="135"/>
      <c r="V16" s="135"/>
      <c r="W16" s="135"/>
      <c r="X16" s="135"/>
      <c r="AB16" s="135"/>
      <c r="AC16" s="135"/>
      <c r="AD16" s="135"/>
      <c r="AE16" s="135"/>
      <c r="AF16" s="135"/>
    </row>
    <row r="17" spans="1:32" x14ac:dyDescent="0.3">
      <c r="A17" s="133"/>
      <c r="B17" s="133"/>
      <c r="C17" s="133"/>
      <c r="D17" s="133"/>
      <c r="E17" s="133"/>
      <c r="F17" s="133"/>
      <c r="G17" s="133"/>
      <c r="H17" s="133"/>
      <c r="I17" s="133"/>
      <c r="J17" s="135"/>
      <c r="K17" s="135"/>
      <c r="L17" s="135"/>
      <c r="M17" s="135"/>
      <c r="N17" s="135"/>
      <c r="O17" s="135"/>
      <c r="P17" s="135"/>
      <c r="Q17" s="135"/>
      <c r="R17" s="135"/>
      <c r="S17" s="135"/>
      <c r="T17" s="135"/>
      <c r="U17" s="135"/>
      <c r="V17" s="135"/>
      <c r="W17" s="135"/>
      <c r="X17" s="135"/>
      <c r="AB17" s="135"/>
      <c r="AC17" s="135"/>
      <c r="AD17" s="135"/>
      <c r="AE17" s="135"/>
      <c r="AF17" s="135"/>
    </row>
    <row r="18" spans="1:32" x14ac:dyDescent="0.3">
      <c r="A18" s="133"/>
      <c r="B18" s="133"/>
      <c r="C18" s="133"/>
      <c r="D18" s="133"/>
      <c r="E18" s="133"/>
      <c r="F18" s="133"/>
      <c r="G18" s="133"/>
      <c r="H18" s="133"/>
      <c r="I18" s="133"/>
      <c r="J18" s="135"/>
      <c r="K18" s="135"/>
      <c r="L18" s="135"/>
      <c r="M18" s="135"/>
      <c r="N18" s="135"/>
      <c r="O18" s="135"/>
      <c r="P18" s="135"/>
      <c r="Q18" s="135"/>
      <c r="R18" s="135"/>
      <c r="S18" s="135"/>
      <c r="T18" s="135"/>
      <c r="U18" s="135"/>
      <c r="V18" s="135"/>
      <c r="W18" s="135"/>
      <c r="X18" s="135"/>
      <c r="AB18" s="135"/>
      <c r="AC18" s="135"/>
      <c r="AD18" s="135"/>
      <c r="AE18" s="135"/>
      <c r="AF18" s="135"/>
    </row>
    <row r="19" spans="1:32" x14ac:dyDescent="0.3">
      <c r="A19" s="133"/>
      <c r="B19" s="133"/>
      <c r="C19" s="133"/>
      <c r="D19" s="133"/>
      <c r="E19" s="133"/>
      <c r="F19" s="133"/>
      <c r="G19" s="133"/>
      <c r="H19" s="133"/>
      <c r="I19" s="133"/>
      <c r="J19" s="135"/>
      <c r="K19" s="135"/>
      <c r="L19" s="135"/>
      <c r="M19" s="135"/>
      <c r="N19" s="135"/>
      <c r="O19" s="135"/>
      <c r="P19" s="135"/>
      <c r="Q19" s="135"/>
      <c r="R19" s="135"/>
      <c r="S19" s="135"/>
      <c r="T19" s="135"/>
      <c r="U19" s="135"/>
      <c r="V19" s="135"/>
      <c r="W19" s="135"/>
      <c r="X19" s="135"/>
      <c r="AB19" s="135"/>
      <c r="AC19" s="135"/>
      <c r="AD19" s="135"/>
      <c r="AE19" s="135"/>
      <c r="AF19" s="135"/>
    </row>
    <row r="20" spans="1:32" x14ac:dyDescent="0.3">
      <c r="A20" s="133"/>
      <c r="B20" s="133"/>
      <c r="C20" s="133"/>
      <c r="D20" s="133"/>
      <c r="E20" s="133"/>
      <c r="F20" s="133"/>
      <c r="G20" s="133"/>
      <c r="H20" s="133"/>
      <c r="I20" s="133"/>
      <c r="J20" s="135"/>
      <c r="K20" s="135"/>
      <c r="L20" s="135"/>
      <c r="M20" s="135"/>
      <c r="N20" s="135"/>
      <c r="O20" s="135"/>
      <c r="P20" s="135"/>
      <c r="Q20" s="135"/>
      <c r="R20" s="135"/>
      <c r="S20" s="135"/>
      <c r="T20" s="135"/>
      <c r="U20" s="135"/>
      <c r="V20" s="135"/>
      <c r="W20" s="135"/>
      <c r="X20" s="135"/>
      <c r="AB20" s="135"/>
      <c r="AC20" s="135"/>
      <c r="AD20" s="135"/>
      <c r="AE20" s="135"/>
      <c r="AF20" s="135"/>
    </row>
    <row r="21" spans="1:32" x14ac:dyDescent="0.3">
      <c r="A21" s="133"/>
      <c r="B21" s="133"/>
      <c r="C21" s="133"/>
      <c r="D21" s="133"/>
      <c r="E21" s="133"/>
      <c r="F21" s="133"/>
      <c r="G21" s="133"/>
      <c r="H21" s="133"/>
      <c r="I21" s="133"/>
      <c r="J21" s="135"/>
      <c r="K21" s="135"/>
      <c r="L21" s="135"/>
      <c r="M21" s="135"/>
      <c r="N21" s="135"/>
      <c r="O21" s="135"/>
      <c r="P21" s="135"/>
      <c r="Q21" s="135"/>
      <c r="R21" s="135"/>
      <c r="S21" s="135"/>
      <c r="T21" s="135"/>
      <c r="U21" s="135"/>
      <c r="V21" s="135"/>
      <c r="W21" s="135"/>
      <c r="X21" s="135"/>
      <c r="AB21" s="135"/>
      <c r="AC21" s="135"/>
      <c r="AD21" s="135"/>
      <c r="AE21" s="135"/>
      <c r="AF21" s="135"/>
    </row>
    <row r="22" spans="1:32" x14ac:dyDescent="0.3">
      <c r="A22" s="133"/>
      <c r="B22" s="133"/>
      <c r="C22" s="133"/>
      <c r="D22" s="133"/>
      <c r="E22" s="133"/>
      <c r="F22" s="133"/>
      <c r="G22" s="133"/>
      <c r="H22" s="133"/>
      <c r="I22" s="133"/>
      <c r="J22" s="135"/>
      <c r="K22" s="135"/>
      <c r="L22" s="135"/>
      <c r="M22" s="135"/>
      <c r="N22" s="135"/>
      <c r="O22" s="135"/>
      <c r="P22" s="135"/>
      <c r="Q22" s="135"/>
      <c r="R22" s="135"/>
      <c r="S22" s="135"/>
      <c r="T22" s="135"/>
      <c r="U22" s="135"/>
      <c r="V22" s="135"/>
      <c r="W22" s="135"/>
      <c r="X22" s="135"/>
      <c r="AB22" s="135"/>
      <c r="AC22" s="135"/>
      <c r="AD22" s="135"/>
      <c r="AE22" s="135"/>
      <c r="AF22" s="135"/>
    </row>
    <row r="23" spans="1:32" x14ac:dyDescent="0.3">
      <c r="A23" s="133"/>
      <c r="B23" s="133"/>
      <c r="C23" s="133"/>
      <c r="D23" s="133"/>
      <c r="E23" s="133"/>
      <c r="F23" s="133"/>
      <c r="G23" s="133"/>
      <c r="H23" s="133"/>
      <c r="I23" s="133"/>
      <c r="J23" s="135"/>
      <c r="K23" s="135"/>
      <c r="L23" s="135"/>
      <c r="M23" s="135"/>
      <c r="N23" s="135"/>
      <c r="O23" s="135"/>
      <c r="P23" s="135"/>
      <c r="Q23" s="135"/>
      <c r="R23" s="135"/>
      <c r="S23" s="135"/>
      <c r="T23" s="135"/>
      <c r="U23" s="135"/>
      <c r="V23" s="135"/>
      <c r="W23" s="135"/>
      <c r="X23" s="135"/>
      <c r="AB23" s="135"/>
      <c r="AC23" s="135"/>
      <c r="AD23" s="135"/>
      <c r="AE23" s="135"/>
      <c r="AF23" s="135"/>
    </row>
    <row r="24" spans="1:32" x14ac:dyDescent="0.3">
      <c r="A24" s="133"/>
      <c r="B24" s="133"/>
      <c r="C24" s="133"/>
      <c r="D24" s="133"/>
      <c r="E24" s="133"/>
      <c r="F24" s="133"/>
      <c r="G24" s="133"/>
      <c r="H24" s="133"/>
      <c r="I24" s="133"/>
      <c r="J24" s="135"/>
      <c r="K24" s="135"/>
      <c r="L24" s="135"/>
      <c r="M24" s="135"/>
      <c r="N24" s="135"/>
      <c r="O24" s="135"/>
      <c r="P24" s="135"/>
      <c r="Q24" s="135"/>
      <c r="R24" s="135"/>
      <c r="S24" s="135"/>
      <c r="T24" s="135"/>
      <c r="U24" s="135"/>
      <c r="V24" s="135"/>
      <c r="W24" s="135"/>
      <c r="X24" s="135"/>
      <c r="AB24" s="135"/>
      <c r="AC24" s="135"/>
      <c r="AD24" s="135"/>
      <c r="AE24" s="135"/>
      <c r="AF24" s="135"/>
    </row>
    <row r="25" spans="1:32" x14ac:dyDescent="0.3">
      <c r="A25" s="133"/>
      <c r="B25" s="133"/>
      <c r="C25" s="133"/>
      <c r="D25" s="133"/>
      <c r="E25" s="133"/>
      <c r="F25" s="133"/>
      <c r="G25" s="133"/>
      <c r="H25" s="133"/>
      <c r="I25" s="133"/>
      <c r="J25" s="135"/>
      <c r="K25" s="135"/>
      <c r="L25" s="135"/>
      <c r="M25" s="135"/>
      <c r="N25" s="135"/>
      <c r="O25" s="135"/>
      <c r="P25" s="135"/>
      <c r="Q25" s="135"/>
      <c r="R25" s="135"/>
      <c r="S25" s="135"/>
      <c r="T25" s="135"/>
      <c r="U25" s="135"/>
      <c r="V25" s="135"/>
      <c r="W25" s="135"/>
      <c r="X25" s="135"/>
      <c r="AB25" s="135"/>
      <c r="AC25" s="135"/>
      <c r="AD25" s="135"/>
      <c r="AE25" s="135"/>
      <c r="AF25" s="135"/>
    </row>
    <row r="26" spans="1:32" x14ac:dyDescent="0.3">
      <c r="A26" s="133"/>
      <c r="B26" s="133"/>
      <c r="C26" s="133"/>
      <c r="D26" s="133"/>
      <c r="E26" s="133"/>
      <c r="F26" s="133"/>
      <c r="G26" s="133"/>
      <c r="H26" s="133"/>
      <c r="I26" s="133"/>
      <c r="J26" s="135"/>
      <c r="K26" s="135"/>
      <c r="L26" s="135"/>
      <c r="M26" s="135"/>
      <c r="N26" s="135"/>
      <c r="O26" s="135"/>
      <c r="P26" s="135"/>
      <c r="Q26" s="135"/>
      <c r="R26" s="135"/>
      <c r="S26" s="135"/>
      <c r="T26" s="135"/>
      <c r="U26" s="135"/>
      <c r="V26" s="135"/>
      <c r="W26" s="135"/>
      <c r="X26" s="135"/>
      <c r="AB26" s="135"/>
      <c r="AC26" s="135"/>
      <c r="AD26" s="135"/>
      <c r="AE26" s="135"/>
      <c r="AF26" s="135"/>
    </row>
    <row r="27" spans="1:32" x14ac:dyDescent="0.3">
      <c r="A27" s="133"/>
      <c r="B27" s="133"/>
      <c r="C27" s="133"/>
      <c r="D27" s="133"/>
      <c r="E27" s="133"/>
      <c r="F27" s="133"/>
      <c r="G27" s="133"/>
      <c r="H27" s="133"/>
      <c r="I27" s="133"/>
      <c r="J27" s="135"/>
      <c r="K27" s="135"/>
      <c r="L27" s="135"/>
      <c r="M27" s="135"/>
      <c r="N27" s="135"/>
      <c r="O27" s="135"/>
      <c r="P27" s="135"/>
      <c r="Q27" s="135"/>
      <c r="R27" s="135"/>
      <c r="S27" s="135"/>
      <c r="T27" s="135"/>
      <c r="U27" s="135"/>
      <c r="V27" s="135"/>
      <c r="W27" s="135"/>
      <c r="X27" s="135"/>
      <c r="AB27" s="135"/>
      <c r="AC27" s="135"/>
      <c r="AD27" s="135"/>
      <c r="AE27" s="135"/>
      <c r="AF27" s="135"/>
    </row>
    <row r="28" spans="1:32" x14ac:dyDescent="0.3">
      <c r="A28" s="133"/>
      <c r="B28" s="133"/>
      <c r="C28" s="133"/>
      <c r="D28" s="133"/>
      <c r="E28" s="133"/>
      <c r="F28" s="133"/>
      <c r="G28" s="133"/>
      <c r="H28" s="133"/>
      <c r="I28" s="133"/>
      <c r="J28" s="135"/>
      <c r="K28" s="135"/>
      <c r="L28" s="135"/>
      <c r="M28" s="135"/>
      <c r="N28" s="135"/>
      <c r="O28" s="135"/>
      <c r="P28" s="135"/>
      <c r="Q28" s="135"/>
      <c r="R28" s="135"/>
      <c r="S28" s="135"/>
      <c r="T28" s="135"/>
      <c r="U28" s="135"/>
      <c r="V28" s="135"/>
      <c r="W28" s="135"/>
      <c r="X28" s="135"/>
      <c r="AB28" s="135"/>
      <c r="AC28" s="135"/>
      <c r="AD28" s="135"/>
      <c r="AE28" s="135"/>
      <c r="AF28" s="135"/>
    </row>
    <row r="29" spans="1:32" x14ac:dyDescent="0.3">
      <c r="A29" s="133"/>
      <c r="B29" s="133"/>
      <c r="C29" s="133"/>
      <c r="D29" s="133"/>
      <c r="E29" s="133"/>
      <c r="F29" s="133"/>
      <c r="G29" s="133"/>
      <c r="H29" s="133"/>
      <c r="I29" s="133"/>
      <c r="J29" s="135"/>
      <c r="K29" s="135"/>
      <c r="L29" s="135"/>
      <c r="M29" s="135"/>
      <c r="N29" s="135"/>
      <c r="O29" s="135"/>
      <c r="P29" s="135"/>
      <c r="Q29" s="135"/>
      <c r="R29" s="135"/>
      <c r="S29" s="135"/>
      <c r="T29" s="135"/>
      <c r="U29" s="135"/>
      <c r="V29" s="135"/>
      <c r="W29" s="135"/>
      <c r="X29" s="135"/>
      <c r="AB29" s="135"/>
      <c r="AC29" s="135"/>
      <c r="AD29" s="135"/>
      <c r="AE29" s="135"/>
      <c r="AF29" s="135"/>
    </row>
    <row r="30" spans="1:32" x14ac:dyDescent="0.3">
      <c r="A30" s="133"/>
      <c r="B30" s="133"/>
      <c r="C30" s="133"/>
      <c r="D30" s="133"/>
      <c r="E30" s="133"/>
      <c r="F30" s="133"/>
      <c r="G30" s="133"/>
      <c r="H30" s="133"/>
      <c r="I30" s="133"/>
      <c r="J30" s="135"/>
      <c r="K30" s="135"/>
      <c r="L30" s="135"/>
      <c r="M30" s="135"/>
      <c r="N30" s="135"/>
      <c r="O30" s="135"/>
      <c r="P30" s="135"/>
      <c r="Q30" s="135"/>
      <c r="R30" s="135"/>
      <c r="S30" s="135"/>
      <c r="T30" s="135"/>
      <c r="U30" s="135"/>
      <c r="V30" s="135"/>
      <c r="W30" s="135"/>
      <c r="X30" s="135"/>
      <c r="AB30" s="135"/>
      <c r="AC30" s="135"/>
      <c r="AD30" s="135"/>
      <c r="AE30" s="135"/>
      <c r="AF30" s="135"/>
    </row>
    <row r="31" spans="1:32" x14ac:dyDescent="0.3">
      <c r="A31" s="133"/>
      <c r="B31" s="133"/>
      <c r="C31" s="133"/>
      <c r="D31" s="133"/>
      <c r="E31" s="133"/>
      <c r="F31" s="133"/>
      <c r="G31" s="133"/>
      <c r="H31" s="133"/>
      <c r="I31" s="133"/>
      <c r="J31" s="135"/>
      <c r="K31" s="135"/>
      <c r="L31" s="135"/>
      <c r="M31" s="135"/>
      <c r="N31" s="135"/>
      <c r="O31" s="135"/>
      <c r="P31" s="135"/>
      <c r="Q31" s="135"/>
      <c r="R31" s="135"/>
      <c r="S31" s="135"/>
      <c r="T31" s="135"/>
      <c r="U31" s="135"/>
      <c r="V31" s="135"/>
      <c r="W31" s="135"/>
      <c r="X31" s="135"/>
      <c r="AB31" s="135"/>
      <c r="AC31" s="135"/>
      <c r="AD31" s="135"/>
      <c r="AE31" s="135"/>
      <c r="AF31" s="135"/>
    </row>
    <row r="32" spans="1:32" x14ac:dyDescent="0.3">
      <c r="A32" s="133"/>
      <c r="B32" s="133"/>
      <c r="C32" s="133"/>
      <c r="D32" s="133"/>
      <c r="E32" s="133"/>
      <c r="F32" s="133"/>
      <c r="G32" s="133"/>
      <c r="H32" s="133"/>
      <c r="I32" s="133"/>
      <c r="J32" s="135"/>
      <c r="K32" s="135"/>
      <c r="L32" s="135"/>
      <c r="M32" s="135"/>
      <c r="N32" s="135"/>
      <c r="O32" s="135"/>
      <c r="P32" s="135"/>
      <c r="Q32" s="135"/>
      <c r="R32" s="135"/>
      <c r="S32" s="135"/>
      <c r="T32" s="135"/>
      <c r="U32" s="135"/>
      <c r="V32" s="135"/>
      <c r="W32" s="135"/>
      <c r="X32" s="135"/>
      <c r="AB32" s="135"/>
      <c r="AC32" s="135"/>
      <c r="AD32" s="135"/>
      <c r="AE32" s="135"/>
      <c r="AF32" s="135"/>
    </row>
    <row r="33" spans="1:32" x14ac:dyDescent="0.3">
      <c r="A33" s="133"/>
      <c r="B33" s="133"/>
      <c r="C33" s="133"/>
      <c r="D33" s="133"/>
      <c r="E33" s="133"/>
      <c r="F33" s="133"/>
      <c r="G33" s="133"/>
      <c r="H33" s="133"/>
      <c r="I33" s="133"/>
      <c r="J33" s="135"/>
      <c r="K33" s="135"/>
      <c r="L33" s="135"/>
      <c r="M33" s="135"/>
      <c r="N33" s="135"/>
      <c r="O33" s="135"/>
      <c r="P33" s="135"/>
      <c r="Q33" s="135"/>
      <c r="R33" s="135"/>
      <c r="S33" s="135"/>
      <c r="T33" s="135"/>
      <c r="U33" s="135"/>
      <c r="V33" s="135"/>
      <c r="W33" s="135"/>
      <c r="X33" s="135"/>
      <c r="AB33" s="135"/>
      <c r="AC33" s="135"/>
      <c r="AD33" s="135"/>
      <c r="AE33" s="135"/>
      <c r="AF33" s="135"/>
    </row>
    <row r="34" spans="1:32" x14ac:dyDescent="0.3">
      <c r="A34" s="133"/>
      <c r="B34" s="133"/>
      <c r="C34" s="133"/>
      <c r="D34" s="133"/>
      <c r="E34" s="133"/>
      <c r="F34" s="133"/>
      <c r="G34" s="133"/>
      <c r="H34" s="133"/>
      <c r="I34" s="133"/>
      <c r="J34" s="135"/>
      <c r="K34" s="135"/>
      <c r="L34" s="135"/>
      <c r="M34" s="135"/>
      <c r="N34" s="135"/>
      <c r="O34" s="135"/>
      <c r="P34" s="135"/>
      <c r="Q34" s="135"/>
      <c r="R34" s="135"/>
      <c r="S34" s="135"/>
      <c r="T34" s="135"/>
      <c r="U34" s="135"/>
      <c r="V34" s="135"/>
      <c r="W34" s="135"/>
      <c r="X34" s="135"/>
      <c r="AB34" s="135"/>
      <c r="AC34" s="135"/>
      <c r="AD34" s="135"/>
      <c r="AE34" s="135"/>
      <c r="AF34" s="135"/>
    </row>
    <row r="35" spans="1:32" x14ac:dyDescent="0.3">
      <c r="A35" s="133"/>
      <c r="B35" s="133"/>
      <c r="C35" s="133"/>
      <c r="D35" s="133"/>
      <c r="E35" s="133"/>
      <c r="F35" s="133"/>
      <c r="G35" s="133"/>
      <c r="H35" s="133"/>
      <c r="I35" s="133"/>
      <c r="J35" s="135"/>
      <c r="K35" s="135"/>
      <c r="L35" s="135"/>
      <c r="M35" s="135"/>
      <c r="N35" s="135"/>
      <c r="O35" s="135"/>
      <c r="P35" s="135"/>
      <c r="Q35" s="135"/>
      <c r="R35" s="135"/>
      <c r="S35" s="135"/>
      <c r="T35" s="135"/>
      <c r="U35" s="135"/>
      <c r="V35" s="135"/>
      <c r="W35" s="135"/>
      <c r="X35" s="135"/>
      <c r="AB35" s="135"/>
      <c r="AC35" s="135"/>
      <c r="AD35" s="135"/>
      <c r="AE35" s="135"/>
      <c r="AF35" s="135"/>
    </row>
    <row r="36" spans="1:32" x14ac:dyDescent="0.3">
      <c r="A36" s="133"/>
      <c r="B36" s="133"/>
      <c r="C36" s="133"/>
      <c r="D36" s="133"/>
      <c r="E36" s="133"/>
      <c r="F36" s="133"/>
      <c r="G36" s="133"/>
      <c r="H36" s="133"/>
      <c r="I36" s="133"/>
      <c r="J36" s="135"/>
      <c r="K36" s="135"/>
      <c r="L36" s="135"/>
      <c r="M36" s="135"/>
      <c r="N36" s="135"/>
      <c r="O36" s="135"/>
      <c r="P36" s="135"/>
      <c r="Q36" s="135"/>
      <c r="R36" s="135"/>
      <c r="S36" s="135"/>
      <c r="T36" s="135"/>
      <c r="U36" s="135"/>
      <c r="V36" s="135"/>
      <c r="W36" s="135"/>
      <c r="X36" s="135"/>
      <c r="AB36" s="135"/>
      <c r="AC36" s="135"/>
      <c r="AD36" s="135"/>
      <c r="AE36" s="135"/>
      <c r="AF36" s="135"/>
    </row>
    <row r="37" spans="1:32" x14ac:dyDescent="0.3">
      <c r="A37" s="133"/>
      <c r="B37" s="133"/>
      <c r="C37" s="133"/>
      <c r="D37" s="133"/>
      <c r="E37" s="133"/>
      <c r="F37" s="133"/>
      <c r="G37" s="133"/>
      <c r="H37" s="133"/>
      <c r="I37" s="133"/>
      <c r="J37" s="135"/>
      <c r="K37" s="135"/>
      <c r="L37" s="135"/>
      <c r="M37" s="135"/>
      <c r="N37" s="135"/>
      <c r="O37" s="135"/>
      <c r="P37" s="135"/>
      <c r="Q37" s="135"/>
      <c r="R37" s="135"/>
      <c r="S37" s="135"/>
      <c r="T37" s="135"/>
      <c r="U37" s="135"/>
      <c r="V37" s="135"/>
      <c r="W37" s="135"/>
      <c r="X37" s="135"/>
      <c r="AB37" s="135"/>
      <c r="AC37" s="135"/>
      <c r="AD37" s="135"/>
      <c r="AE37" s="135"/>
      <c r="AF37" s="135"/>
    </row>
    <row r="38" spans="1:32" x14ac:dyDescent="0.3">
      <c r="A38" s="133"/>
      <c r="B38" s="133"/>
      <c r="C38" s="133"/>
      <c r="D38" s="133"/>
      <c r="E38" s="133"/>
      <c r="F38" s="133"/>
      <c r="G38" s="133"/>
      <c r="H38" s="133"/>
      <c r="I38" s="133"/>
      <c r="J38" s="135"/>
      <c r="K38" s="135"/>
      <c r="L38" s="135"/>
      <c r="M38" s="135"/>
      <c r="N38" s="135"/>
      <c r="O38" s="135"/>
      <c r="P38" s="135"/>
      <c r="Q38" s="135"/>
      <c r="R38" s="135"/>
      <c r="S38" s="135"/>
      <c r="T38" s="135"/>
      <c r="U38" s="135"/>
      <c r="V38" s="135"/>
      <c r="W38" s="135"/>
      <c r="X38" s="135"/>
      <c r="AB38" s="135"/>
      <c r="AC38" s="135"/>
      <c r="AD38" s="135"/>
      <c r="AE38" s="135"/>
      <c r="AF38" s="135"/>
    </row>
    <row r="39" spans="1:32" x14ac:dyDescent="0.3">
      <c r="A39" s="133"/>
      <c r="B39" s="133"/>
      <c r="C39" s="133"/>
      <c r="D39" s="133"/>
      <c r="E39" s="133"/>
      <c r="F39" s="133"/>
      <c r="G39" s="133"/>
      <c r="H39" s="133"/>
      <c r="I39" s="133"/>
      <c r="J39" s="135"/>
      <c r="K39" s="135"/>
      <c r="L39" s="135"/>
      <c r="M39" s="135"/>
      <c r="N39" s="208"/>
      <c r="O39" s="135"/>
      <c r="P39" s="135"/>
      <c r="Q39" s="135"/>
      <c r="R39" s="135"/>
      <c r="S39" s="135"/>
      <c r="T39" s="135"/>
      <c r="U39" s="135"/>
      <c r="V39" s="135"/>
      <c r="W39" s="135"/>
      <c r="X39" s="135"/>
      <c r="AB39" s="135"/>
      <c r="AC39" s="135"/>
      <c r="AD39" s="135"/>
      <c r="AE39" s="135"/>
      <c r="AF39" s="135"/>
    </row>
    <row r="40" spans="1:32" x14ac:dyDescent="0.3">
      <c r="A40" s="133"/>
      <c r="B40" s="133"/>
      <c r="C40" s="133"/>
      <c r="D40" s="133"/>
      <c r="E40" s="133"/>
      <c r="F40" s="133"/>
      <c r="G40" s="133"/>
      <c r="H40" s="133"/>
      <c r="I40" s="133"/>
      <c r="J40" s="135"/>
      <c r="K40" s="135"/>
      <c r="L40" s="135"/>
      <c r="M40" s="135"/>
      <c r="N40" s="135"/>
      <c r="O40" s="135"/>
      <c r="P40" s="135"/>
      <c r="Q40" s="135"/>
      <c r="R40" s="135"/>
      <c r="S40" s="135"/>
      <c r="T40" s="135"/>
      <c r="U40" s="135"/>
      <c r="V40" s="135"/>
      <c r="W40" s="135"/>
      <c r="X40" s="135"/>
      <c r="AB40" s="135"/>
      <c r="AC40" s="135"/>
      <c r="AD40" s="135"/>
      <c r="AE40" s="135"/>
      <c r="AF40" s="135"/>
    </row>
    <row r="41" spans="1:32" x14ac:dyDescent="0.3">
      <c r="A41" s="133"/>
      <c r="B41" s="133"/>
      <c r="C41" s="133"/>
      <c r="D41" s="133"/>
      <c r="E41" s="133"/>
      <c r="F41" s="133"/>
      <c r="G41" s="133"/>
      <c r="H41" s="133"/>
      <c r="I41" s="133"/>
      <c r="J41" s="135"/>
      <c r="K41" s="135"/>
      <c r="L41" s="135"/>
      <c r="M41" s="135"/>
      <c r="N41" s="135"/>
      <c r="O41" s="135"/>
      <c r="P41" s="135"/>
      <c r="Q41" s="135"/>
      <c r="R41" s="135"/>
      <c r="S41" s="135"/>
      <c r="T41" s="135"/>
      <c r="U41" s="135"/>
      <c r="V41" s="135"/>
      <c r="W41" s="135"/>
      <c r="X41" s="135"/>
      <c r="AB41" s="135"/>
      <c r="AC41" s="135"/>
      <c r="AD41" s="135"/>
      <c r="AE41" s="135"/>
      <c r="AF41" s="135"/>
    </row>
    <row r="42" spans="1:32" x14ac:dyDescent="0.3">
      <c r="A42" s="133"/>
      <c r="B42" s="133"/>
      <c r="C42" s="133"/>
      <c r="D42" s="133"/>
      <c r="E42" s="133"/>
      <c r="F42" s="133"/>
      <c r="G42" s="133"/>
      <c r="H42" s="133"/>
      <c r="I42" s="133"/>
      <c r="J42" s="135"/>
      <c r="K42" s="135"/>
      <c r="L42" s="135"/>
      <c r="M42" s="135"/>
      <c r="N42" s="135"/>
      <c r="O42" s="135"/>
      <c r="P42" s="135"/>
      <c r="Q42" s="135"/>
      <c r="R42" s="135"/>
      <c r="S42" s="135"/>
      <c r="T42" s="135"/>
      <c r="U42" s="135"/>
      <c r="V42" s="135"/>
      <c r="W42" s="135"/>
      <c r="X42" s="135"/>
      <c r="AB42" s="135"/>
      <c r="AC42" s="135"/>
      <c r="AD42" s="135"/>
      <c r="AE42" s="135"/>
      <c r="AF42" s="135"/>
    </row>
    <row r="43" spans="1:32" x14ac:dyDescent="0.3">
      <c r="A43" s="133"/>
      <c r="B43" s="133"/>
      <c r="C43" s="133"/>
      <c r="D43" s="133"/>
      <c r="E43" s="133"/>
      <c r="F43" s="133"/>
      <c r="G43" s="133"/>
      <c r="H43" s="133"/>
      <c r="I43" s="133"/>
      <c r="J43" s="135"/>
      <c r="K43" s="135"/>
      <c r="L43" s="135"/>
      <c r="M43" s="135"/>
      <c r="N43" s="135"/>
      <c r="O43" s="135"/>
      <c r="P43" s="135"/>
      <c r="Q43" s="135"/>
      <c r="R43" s="135"/>
      <c r="S43" s="135"/>
      <c r="T43" s="135"/>
      <c r="U43" s="135"/>
      <c r="V43" s="135"/>
      <c r="W43" s="135"/>
      <c r="X43" s="135"/>
      <c r="AB43" s="135"/>
      <c r="AC43" s="135"/>
      <c r="AD43" s="135"/>
      <c r="AE43" s="135"/>
      <c r="AF43" s="135"/>
    </row>
    <row r="44" spans="1:32" x14ac:dyDescent="0.3">
      <c r="A44" s="133"/>
      <c r="B44" s="133"/>
      <c r="C44" s="133"/>
      <c r="D44" s="133"/>
      <c r="E44" s="133"/>
      <c r="F44" s="133"/>
      <c r="G44" s="133"/>
      <c r="H44" s="133"/>
      <c r="I44" s="133"/>
      <c r="J44" s="135"/>
      <c r="K44" s="135"/>
      <c r="L44" s="135"/>
      <c r="M44" s="135"/>
      <c r="N44" s="135"/>
      <c r="O44" s="135"/>
      <c r="P44" s="135"/>
      <c r="Q44" s="135"/>
      <c r="R44" s="135"/>
      <c r="S44" s="135"/>
      <c r="T44" s="135"/>
      <c r="U44" s="135"/>
      <c r="V44" s="135"/>
      <c r="W44" s="135"/>
      <c r="X44" s="135"/>
      <c r="AB44" s="135"/>
      <c r="AC44" s="135"/>
      <c r="AD44" s="135"/>
      <c r="AE44" s="135"/>
      <c r="AF44" s="135"/>
    </row>
    <row r="45" spans="1:32" x14ac:dyDescent="0.3">
      <c r="A45" s="133"/>
      <c r="B45" s="133"/>
      <c r="C45" s="133"/>
      <c r="D45" s="133"/>
      <c r="E45" s="133"/>
      <c r="F45" s="133"/>
      <c r="G45" s="133"/>
      <c r="H45" s="133"/>
      <c r="I45" s="133"/>
      <c r="J45" s="135"/>
      <c r="K45" s="135"/>
      <c r="L45" s="135"/>
      <c r="M45" s="135"/>
      <c r="N45" s="135"/>
      <c r="O45" s="135"/>
      <c r="P45" s="135"/>
      <c r="Q45" s="135"/>
      <c r="R45" s="135"/>
      <c r="S45" s="135"/>
      <c r="T45" s="135"/>
      <c r="U45" s="135"/>
      <c r="V45" s="135"/>
      <c r="W45" s="135"/>
      <c r="X45" s="135"/>
      <c r="AB45" s="135"/>
      <c r="AC45" s="135"/>
      <c r="AD45" s="135"/>
      <c r="AE45" s="135"/>
      <c r="AF45" s="135"/>
    </row>
    <row r="46" spans="1:32" x14ac:dyDescent="0.3">
      <c r="A46" s="133"/>
      <c r="B46" s="133"/>
      <c r="C46" s="133"/>
      <c r="D46" s="133"/>
      <c r="E46" s="133"/>
      <c r="F46" s="133"/>
      <c r="G46" s="133"/>
      <c r="H46" s="133"/>
      <c r="I46" s="133"/>
      <c r="J46" s="135"/>
      <c r="K46" s="135"/>
      <c r="L46" s="135"/>
      <c r="M46" s="135"/>
      <c r="N46" s="135"/>
      <c r="O46" s="135"/>
      <c r="P46" s="135"/>
      <c r="Q46" s="135"/>
      <c r="R46" s="135"/>
      <c r="S46" s="135"/>
      <c r="T46" s="135"/>
      <c r="U46" s="135"/>
      <c r="V46" s="135"/>
      <c r="W46" s="135"/>
      <c r="X46" s="135"/>
      <c r="AB46" s="135"/>
      <c r="AC46" s="135"/>
      <c r="AD46" s="135"/>
      <c r="AE46" s="135"/>
      <c r="AF46" s="135"/>
    </row>
    <row r="47" spans="1:32" x14ac:dyDescent="0.3">
      <c r="A47" s="133"/>
      <c r="B47" s="133"/>
      <c r="C47" s="133"/>
      <c r="D47" s="133"/>
      <c r="E47" s="133"/>
      <c r="F47" s="133"/>
      <c r="G47" s="133"/>
      <c r="H47" s="133"/>
      <c r="I47" s="133"/>
      <c r="J47" s="135"/>
      <c r="K47" s="135"/>
      <c r="L47" s="135"/>
      <c r="M47" s="135"/>
      <c r="N47" s="135"/>
      <c r="O47" s="135"/>
      <c r="P47" s="135"/>
      <c r="Q47" s="135"/>
      <c r="R47" s="135"/>
      <c r="S47" s="135"/>
      <c r="T47" s="135"/>
      <c r="U47" s="135"/>
      <c r="V47" s="135"/>
      <c r="W47" s="135"/>
      <c r="X47" s="135"/>
      <c r="AB47" s="135"/>
      <c r="AC47" s="135"/>
      <c r="AD47" s="135"/>
      <c r="AE47" s="135"/>
      <c r="AF47" s="135"/>
    </row>
    <row r="48" spans="1:32" x14ac:dyDescent="0.3">
      <c r="A48" s="133"/>
      <c r="B48" s="133"/>
      <c r="C48" s="133"/>
      <c r="D48" s="133"/>
      <c r="E48" s="133"/>
      <c r="F48" s="133"/>
      <c r="G48" s="133"/>
      <c r="H48" s="133"/>
      <c r="I48" s="133"/>
      <c r="J48" s="135"/>
      <c r="K48" s="135"/>
      <c r="L48" s="135"/>
      <c r="M48" s="135"/>
      <c r="N48" s="135"/>
      <c r="O48" s="135"/>
      <c r="P48" s="135"/>
      <c r="Q48" s="135"/>
      <c r="R48" s="135"/>
      <c r="S48" s="135"/>
      <c r="T48" s="135"/>
      <c r="U48" s="135"/>
      <c r="V48" s="135"/>
      <c r="W48" s="135"/>
      <c r="X48" s="135"/>
      <c r="AB48" s="135"/>
      <c r="AC48" s="135"/>
      <c r="AD48" s="135"/>
      <c r="AE48" s="135"/>
      <c r="AF48" s="135"/>
    </row>
    <row r="49" spans="1:32" x14ac:dyDescent="0.3">
      <c r="A49" s="133"/>
      <c r="B49" s="133"/>
      <c r="C49" s="133"/>
      <c r="D49" s="133"/>
      <c r="E49" s="133"/>
      <c r="F49" s="133"/>
      <c r="G49" s="133"/>
      <c r="H49" s="133"/>
      <c r="I49" s="133"/>
      <c r="J49" s="135"/>
      <c r="K49" s="135"/>
      <c r="L49" s="135"/>
      <c r="M49" s="135"/>
      <c r="N49" s="135"/>
      <c r="O49" s="135"/>
      <c r="P49" s="135"/>
      <c r="Q49" s="135"/>
      <c r="R49" s="135"/>
      <c r="S49" s="135"/>
      <c r="T49" s="135"/>
      <c r="U49" s="135"/>
      <c r="V49" s="135"/>
      <c r="W49" s="135"/>
      <c r="X49" s="135"/>
      <c r="AB49" s="135"/>
      <c r="AC49" s="135"/>
      <c r="AD49" s="135"/>
      <c r="AE49" s="135"/>
      <c r="AF49" s="135"/>
    </row>
    <row r="50" spans="1:32" x14ac:dyDescent="0.3">
      <c r="A50" s="133"/>
      <c r="B50" s="133"/>
      <c r="C50" s="133"/>
      <c r="D50" s="133"/>
      <c r="E50" s="133"/>
      <c r="F50" s="133"/>
      <c r="G50" s="133"/>
      <c r="H50" s="133"/>
      <c r="I50" s="133"/>
      <c r="J50" s="135"/>
      <c r="K50" s="135"/>
      <c r="L50" s="135"/>
      <c r="M50" s="135"/>
      <c r="N50" s="135"/>
      <c r="O50" s="135"/>
      <c r="P50" s="135"/>
      <c r="Q50" s="135"/>
      <c r="R50" s="135"/>
      <c r="S50" s="135"/>
      <c r="T50" s="135"/>
      <c r="U50" s="135"/>
      <c r="V50" s="135"/>
      <c r="W50" s="135"/>
      <c r="X50" s="135"/>
      <c r="AB50" s="135"/>
      <c r="AC50" s="135"/>
      <c r="AD50" s="135"/>
      <c r="AE50" s="135"/>
      <c r="AF50" s="135"/>
    </row>
    <row r="51" spans="1:32" x14ac:dyDescent="0.3">
      <c r="A51" s="133"/>
      <c r="B51" s="133"/>
      <c r="C51" s="133"/>
      <c r="D51" s="133"/>
      <c r="E51" s="133"/>
      <c r="F51" s="133"/>
      <c r="G51" s="133"/>
      <c r="H51" s="133"/>
      <c r="I51" s="133"/>
      <c r="J51" s="135"/>
      <c r="K51" s="135"/>
      <c r="L51" s="135"/>
      <c r="M51" s="135"/>
      <c r="N51" s="135"/>
      <c r="O51" s="135"/>
      <c r="P51" s="135"/>
      <c r="Q51" s="135"/>
      <c r="R51" s="135"/>
      <c r="S51" s="135"/>
      <c r="T51" s="135"/>
      <c r="U51" s="135"/>
      <c r="V51" s="135"/>
      <c r="W51" s="135"/>
      <c r="X51" s="135"/>
      <c r="AB51" s="135"/>
      <c r="AC51" s="135"/>
      <c r="AD51" s="135"/>
      <c r="AE51" s="135"/>
      <c r="AF51" s="135"/>
    </row>
    <row r="52" spans="1:32" x14ac:dyDescent="0.3">
      <c r="A52" s="133"/>
      <c r="B52" s="133"/>
      <c r="C52" s="133"/>
      <c r="D52" s="133"/>
      <c r="E52" s="133"/>
      <c r="F52" s="133"/>
      <c r="G52" s="133"/>
      <c r="H52" s="133"/>
      <c r="I52" s="133"/>
      <c r="J52" s="135"/>
      <c r="K52" s="135"/>
      <c r="L52" s="135"/>
      <c r="M52" s="135"/>
      <c r="N52" s="135"/>
      <c r="O52" s="135"/>
      <c r="P52" s="135"/>
      <c r="Q52" s="135"/>
      <c r="R52" s="135"/>
      <c r="S52" s="135"/>
      <c r="T52" s="135"/>
      <c r="U52" s="135"/>
      <c r="V52" s="135"/>
      <c r="W52" s="135"/>
      <c r="X52" s="135"/>
      <c r="AB52" s="135"/>
      <c r="AC52" s="135"/>
      <c r="AD52" s="135"/>
      <c r="AE52" s="135"/>
      <c r="AF52" s="135"/>
    </row>
    <row r="53" spans="1:32" x14ac:dyDescent="0.3">
      <c r="A53" s="133"/>
      <c r="B53" s="133"/>
      <c r="C53" s="133"/>
      <c r="D53" s="133"/>
      <c r="E53" s="133"/>
      <c r="F53" s="133"/>
      <c r="G53" s="133"/>
      <c r="H53" s="133"/>
      <c r="I53" s="133"/>
      <c r="J53" s="135"/>
      <c r="K53" s="135"/>
      <c r="L53" s="135"/>
      <c r="M53" s="135"/>
      <c r="N53" s="135"/>
      <c r="O53" s="135"/>
      <c r="P53" s="135"/>
      <c r="Q53" s="135"/>
      <c r="R53" s="135"/>
      <c r="S53" s="135"/>
      <c r="T53" s="135"/>
      <c r="U53" s="135"/>
      <c r="V53" s="135"/>
      <c r="W53" s="135"/>
      <c r="X53" s="135"/>
      <c r="AB53" s="135"/>
      <c r="AC53" s="135"/>
      <c r="AD53" s="135"/>
      <c r="AE53" s="135"/>
      <c r="AF53" s="135"/>
    </row>
    <row r="54" spans="1:32" x14ac:dyDescent="0.3">
      <c r="A54" s="133"/>
      <c r="B54" s="133"/>
      <c r="C54" s="133"/>
      <c r="D54" s="133"/>
      <c r="E54" s="133"/>
      <c r="F54" s="133"/>
      <c r="G54" s="133"/>
      <c r="H54" s="133"/>
      <c r="I54" s="133"/>
      <c r="J54" s="135"/>
      <c r="K54" s="135"/>
      <c r="L54" s="135"/>
      <c r="M54" s="135"/>
      <c r="N54" s="135"/>
      <c r="O54" s="135"/>
      <c r="P54" s="135"/>
      <c r="Q54" s="135"/>
      <c r="R54" s="135"/>
      <c r="S54" s="135"/>
      <c r="T54" s="135"/>
      <c r="U54" s="135"/>
      <c r="V54" s="135"/>
      <c r="W54" s="135"/>
      <c r="X54" s="135"/>
      <c r="AB54" s="135"/>
      <c r="AC54" s="135"/>
      <c r="AD54" s="135"/>
      <c r="AE54" s="135"/>
      <c r="AF54" s="135"/>
    </row>
    <row r="55" spans="1:32" x14ac:dyDescent="0.3">
      <c r="A55" s="133"/>
      <c r="B55" s="133"/>
      <c r="C55" s="133"/>
      <c r="D55" s="133"/>
      <c r="E55" s="133"/>
      <c r="F55" s="133"/>
      <c r="G55" s="133"/>
      <c r="H55" s="133"/>
      <c r="I55" s="133"/>
      <c r="J55" s="135"/>
      <c r="K55" s="135"/>
      <c r="L55" s="135"/>
      <c r="M55" s="135"/>
      <c r="N55" s="135"/>
      <c r="O55" s="135"/>
      <c r="P55" s="135"/>
      <c r="Q55" s="135"/>
      <c r="R55" s="135"/>
      <c r="S55" s="135"/>
      <c r="T55" s="135"/>
      <c r="U55" s="135"/>
      <c r="V55" s="135"/>
      <c r="W55" s="135"/>
      <c r="X55" s="135"/>
      <c r="AB55" s="135"/>
      <c r="AC55" s="135"/>
      <c r="AD55" s="135"/>
      <c r="AE55" s="135"/>
      <c r="AF55" s="135"/>
    </row>
    <row r="56" spans="1:32" x14ac:dyDescent="0.3">
      <c r="A56" s="133"/>
      <c r="B56" s="133"/>
      <c r="C56" s="133"/>
      <c r="D56" s="133"/>
      <c r="E56" s="133"/>
      <c r="F56" s="133"/>
      <c r="G56" s="133"/>
      <c r="H56" s="133"/>
      <c r="I56" s="133"/>
      <c r="J56" s="135"/>
      <c r="K56" s="135"/>
      <c r="L56" s="135"/>
      <c r="M56" s="135"/>
      <c r="N56" s="135"/>
      <c r="O56" s="135"/>
      <c r="P56" s="135"/>
      <c r="Q56" s="135"/>
      <c r="R56" s="135"/>
      <c r="S56" s="135"/>
      <c r="T56" s="135"/>
      <c r="U56" s="135"/>
      <c r="V56" s="135"/>
      <c r="W56" s="135"/>
      <c r="X56" s="135"/>
      <c r="AB56" s="135"/>
      <c r="AC56" s="135"/>
      <c r="AD56" s="135"/>
      <c r="AE56" s="135"/>
      <c r="AF56" s="135"/>
    </row>
    <row r="57" spans="1:32" x14ac:dyDescent="0.3">
      <c r="A57" s="133"/>
      <c r="B57" s="133"/>
      <c r="C57" s="133"/>
      <c r="D57" s="133"/>
      <c r="E57" s="133"/>
      <c r="F57" s="133"/>
      <c r="G57" s="133"/>
      <c r="H57" s="133"/>
      <c r="I57" s="133"/>
      <c r="J57" s="135"/>
      <c r="K57" s="135"/>
      <c r="L57" s="135"/>
      <c r="M57" s="135"/>
      <c r="N57" s="135"/>
      <c r="O57" s="135"/>
      <c r="P57" s="135"/>
      <c r="Q57" s="135"/>
      <c r="R57" s="135"/>
      <c r="S57" s="135"/>
      <c r="T57" s="135"/>
      <c r="U57" s="135"/>
      <c r="V57" s="135"/>
      <c r="W57" s="135"/>
      <c r="X57" s="135"/>
      <c r="AB57" s="135"/>
      <c r="AC57" s="135"/>
      <c r="AD57" s="135"/>
      <c r="AE57" s="135"/>
      <c r="AF57" s="135"/>
    </row>
    <row r="58" spans="1:32" x14ac:dyDescent="0.3">
      <c r="A58" s="133"/>
      <c r="B58" s="133"/>
      <c r="C58" s="133"/>
      <c r="D58" s="133"/>
      <c r="E58" s="133"/>
      <c r="F58" s="133"/>
      <c r="G58" s="133"/>
      <c r="H58" s="133"/>
      <c r="I58" s="133"/>
      <c r="J58" s="135"/>
      <c r="K58" s="135"/>
      <c r="L58" s="135"/>
      <c r="M58" s="135"/>
      <c r="N58" s="135"/>
      <c r="O58" s="135"/>
      <c r="P58" s="135"/>
      <c r="Q58" s="135"/>
      <c r="R58" s="135"/>
      <c r="S58" s="135"/>
      <c r="T58" s="135"/>
      <c r="U58" s="135"/>
      <c r="V58" s="135"/>
      <c r="W58" s="135"/>
      <c r="X58" s="135"/>
      <c r="AB58" s="135"/>
      <c r="AC58" s="135"/>
      <c r="AD58" s="135"/>
      <c r="AE58" s="135"/>
      <c r="AF58" s="135"/>
    </row>
    <row r="59" spans="1:32" x14ac:dyDescent="0.3">
      <c r="A59" s="133"/>
      <c r="B59" s="133"/>
      <c r="C59" s="133"/>
      <c r="D59" s="133"/>
      <c r="E59" s="133"/>
      <c r="F59" s="133"/>
      <c r="G59" s="133"/>
      <c r="H59" s="133"/>
      <c r="I59" s="133"/>
      <c r="J59" s="135"/>
      <c r="K59" s="135"/>
      <c r="L59" s="135"/>
      <c r="M59" s="135"/>
      <c r="N59" s="135"/>
      <c r="O59" s="135"/>
      <c r="P59" s="135"/>
      <c r="Q59" s="135"/>
      <c r="R59" s="135"/>
      <c r="S59" s="135"/>
      <c r="T59" s="135"/>
      <c r="U59" s="135"/>
      <c r="V59" s="135"/>
      <c r="W59" s="135"/>
      <c r="X59" s="135"/>
      <c r="AB59" s="135"/>
      <c r="AC59" s="135"/>
      <c r="AD59" s="135"/>
      <c r="AE59" s="135"/>
      <c r="AF59" s="135"/>
    </row>
    <row r="60" spans="1:32" x14ac:dyDescent="0.3">
      <c r="A60" s="133"/>
      <c r="B60" s="133"/>
      <c r="C60" s="133"/>
      <c r="D60" s="133"/>
      <c r="E60" s="133"/>
      <c r="F60" s="133"/>
      <c r="G60" s="133"/>
      <c r="H60" s="133"/>
      <c r="I60" s="133"/>
      <c r="J60" s="135"/>
      <c r="K60" s="135"/>
      <c r="L60" s="135"/>
      <c r="M60" s="135"/>
      <c r="N60" s="135"/>
      <c r="O60" s="135"/>
      <c r="P60" s="135"/>
      <c r="Q60" s="135"/>
      <c r="R60" s="135"/>
      <c r="S60" s="135"/>
      <c r="T60" s="135"/>
      <c r="U60" s="135"/>
      <c r="V60" s="135"/>
      <c r="W60" s="135"/>
      <c r="X60" s="135"/>
      <c r="AB60" s="135"/>
      <c r="AC60" s="135"/>
      <c r="AD60" s="135"/>
      <c r="AE60" s="135"/>
      <c r="AF60" s="135"/>
    </row>
    <row r="61" spans="1:32" x14ac:dyDescent="0.3">
      <c r="A61" s="133"/>
      <c r="B61" s="133"/>
      <c r="C61" s="133"/>
      <c r="D61" s="133"/>
      <c r="E61" s="133"/>
      <c r="F61" s="133"/>
      <c r="G61" s="133"/>
      <c r="H61" s="133"/>
      <c r="I61" s="133"/>
      <c r="J61" s="135"/>
      <c r="K61" s="135"/>
      <c r="L61" s="135"/>
      <c r="M61" s="135"/>
      <c r="N61" s="135"/>
      <c r="O61" s="135"/>
      <c r="P61" s="135"/>
      <c r="Q61" s="135"/>
      <c r="R61" s="135"/>
      <c r="S61" s="135"/>
      <c r="T61" s="135"/>
      <c r="U61" s="135"/>
      <c r="V61" s="135"/>
      <c r="W61" s="135"/>
      <c r="X61" s="135"/>
      <c r="AB61" s="135"/>
      <c r="AC61" s="135"/>
      <c r="AD61" s="135"/>
      <c r="AE61" s="135"/>
      <c r="AF61" s="135"/>
    </row>
    <row r="62" spans="1:32" x14ac:dyDescent="0.3">
      <c r="A62" s="133"/>
      <c r="B62" s="133"/>
      <c r="C62" s="133"/>
      <c r="D62" s="133"/>
      <c r="E62" s="133"/>
      <c r="F62" s="133"/>
      <c r="G62" s="133"/>
      <c r="H62" s="133"/>
      <c r="I62" s="133"/>
      <c r="J62" s="135"/>
      <c r="K62" s="135"/>
      <c r="L62" s="135"/>
      <c r="M62" s="135"/>
      <c r="N62" s="135"/>
      <c r="O62" s="135"/>
      <c r="P62" s="135"/>
      <c r="Q62" s="135"/>
      <c r="R62" s="135"/>
      <c r="S62" s="135"/>
      <c r="T62" s="135"/>
      <c r="U62" s="135"/>
      <c r="V62" s="135"/>
      <c r="W62" s="135"/>
      <c r="X62" s="135"/>
      <c r="AB62" s="135"/>
      <c r="AC62" s="135"/>
      <c r="AD62" s="135"/>
      <c r="AE62" s="135"/>
      <c r="AF62" s="135"/>
    </row>
    <row r="63" spans="1:32" x14ac:dyDescent="0.3">
      <c r="A63" s="133"/>
      <c r="B63" s="133"/>
      <c r="C63" s="133"/>
      <c r="D63" s="133"/>
      <c r="E63" s="133"/>
      <c r="F63" s="133"/>
      <c r="G63" s="133"/>
      <c r="H63" s="133"/>
      <c r="I63" s="133"/>
      <c r="J63" s="135"/>
      <c r="K63" s="135"/>
      <c r="L63" s="135"/>
      <c r="M63" s="135"/>
      <c r="N63" s="135"/>
      <c r="O63" s="135"/>
      <c r="P63" s="135"/>
      <c r="Q63" s="135"/>
      <c r="R63" s="135"/>
      <c r="S63" s="135"/>
      <c r="T63" s="135"/>
      <c r="U63" s="135"/>
      <c r="V63" s="135"/>
      <c r="W63" s="135"/>
      <c r="X63" s="135"/>
      <c r="AB63" s="135"/>
      <c r="AC63" s="135"/>
      <c r="AD63" s="135"/>
      <c r="AE63" s="135"/>
      <c r="AF63" s="135"/>
    </row>
    <row r="64" spans="1:32" x14ac:dyDescent="0.3">
      <c r="A64" s="133"/>
      <c r="B64" s="133"/>
      <c r="C64" s="133"/>
      <c r="D64" s="133"/>
      <c r="E64" s="133"/>
      <c r="F64" s="133"/>
      <c r="G64" s="133"/>
      <c r="H64" s="133"/>
      <c r="I64" s="133"/>
      <c r="J64" s="135"/>
      <c r="K64" s="135"/>
      <c r="L64" s="135"/>
      <c r="M64" s="135"/>
      <c r="N64" s="135"/>
      <c r="O64" s="135"/>
      <c r="P64" s="135"/>
      <c r="Q64" s="135"/>
      <c r="R64" s="135"/>
      <c r="S64" s="135"/>
      <c r="T64" s="135"/>
      <c r="U64" s="135"/>
      <c r="V64" s="135"/>
      <c r="W64" s="135"/>
      <c r="X64" s="135"/>
      <c r="AB64" s="135"/>
      <c r="AC64" s="135"/>
      <c r="AD64" s="135"/>
      <c r="AE64" s="135"/>
      <c r="AF64" s="135"/>
    </row>
  </sheetData>
  <sheetProtection sheet="1" pivotTables="0"/>
  <conditionalFormatting sqref="I2:I20000">
    <cfRule type="notContainsBlanks" dxfId="2" priority="1">
      <formula>LEN(TRIM(I2))&gt;0</formula>
    </cfRule>
  </conditionalFormatting>
  <conditionalFormatting sqref="J2:L20000">
    <cfRule type="notContainsBlanks" dxfId="1" priority="4">
      <formula>LEN(TRIM(J2))&gt;0</formula>
    </cfRule>
  </conditionalFormatting>
  <conditionalFormatting sqref="M2:X20000">
    <cfRule type="notContainsBlanks" dxfId="0" priority="2">
      <formula>LEN(TRIM(M2))&gt;0</formula>
    </cfRule>
  </conditionalFormatting>
  <dataValidations disablePrompts="1" count="4">
    <dataValidation allowBlank="1" showInputMessage="1" showErrorMessage="1" prompt="1: Ongoing, applies to everyone_x000a_2: Ongoing, applies to existing stakeholders only_x000a_3: Ongoing, applies to new entrants only_x000a_4: Upfront, applies to everyone_x000a_5: Upfront, applies to existing stakeholders only_x000a_6: Upfront, applies to new entrants only" sqref="AB1" xr:uid="{CF313DA6-194B-48E5-B1D7-1E1EA50D196F}"/>
    <dataValidation allowBlank="1" showInputMessage="1" showErrorMessage="1" prompt="This is used to calculate the growing stakeholder counts depending on the period and the start of the activity." sqref="AC1" xr:uid="{74CB358A-2ED0-4CCE-B5D3-1BA7213525F7}"/>
    <dataValidation allowBlank="1" showInputMessage="1" showErrorMessage="1" prompt="This is needed to calculate the number of affected stakeholders at the time that the activity comes into force (called P0). " sqref="AD1" xr:uid="{68DF84DE-EE46-4945-802D-8D0C8EDEDBED}"/>
    <dataValidation allowBlank="1" showInputMessage="1" showErrorMessage="1" prompt="This is the exponent for discounting. It updates based on the period, frequency, and activity start. " sqref="AE1" xr:uid="{2F6E5207-A03D-4F8F-8183-4EBE2974A1BA}"/>
  </dataValidations>
  <pageMargins left="0.7" right="0.7" top="0.75" bottom="0.75" header="0.3" footer="0.3"/>
  <pageSetup orientation="portrait" horizontalDpi="90" verticalDpi="90" r:id="rId1"/>
  <headerFooter>
    <oddHeader>&amp;R&amp;"Calibri"&amp;12&amp;K000000 PROTECTED B - PROTÉGÉ B&amp;1#_x000D_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BY92"/>
  <sheetViews>
    <sheetView zoomScale="55" zoomScaleNormal="55" zoomScaleSheetLayoutView="86" workbookViewId="0"/>
  </sheetViews>
  <sheetFormatPr defaultColWidth="8.6640625" defaultRowHeight="14.4" x14ac:dyDescent="0.3"/>
  <cols>
    <col min="1" max="1" width="21.6640625" customWidth="1"/>
    <col min="2" max="2" width="21.88671875" customWidth="1"/>
    <col min="3" max="3" width="22.88671875" customWidth="1"/>
    <col min="4" max="4" width="26.109375" customWidth="1"/>
    <col min="5" max="5" width="26.5546875" customWidth="1"/>
    <col min="6" max="6" width="18.5546875" customWidth="1"/>
    <col min="7" max="7" width="25.5546875" bestFit="1" customWidth="1"/>
    <col min="8" max="8" width="27.5546875" customWidth="1"/>
    <col min="9" max="9" width="108.44140625" customWidth="1"/>
    <col min="10" max="10" width="15.88671875" customWidth="1"/>
    <col min="11" max="11" width="11.33203125" customWidth="1"/>
    <col min="12" max="12" width="10.6640625" customWidth="1"/>
    <col min="13" max="13" width="8.5546875" customWidth="1"/>
    <col min="14" max="14" width="18.5546875" customWidth="1"/>
    <col min="15" max="15" width="17.44140625" customWidth="1"/>
    <col min="16" max="16" width="78" customWidth="1"/>
    <col min="17" max="17" width="14.44140625" customWidth="1"/>
    <col min="18" max="18" width="121.44140625" customWidth="1"/>
    <col min="19" max="19" width="25.5546875" customWidth="1"/>
    <col min="20" max="20" width="68.44140625" customWidth="1"/>
    <col min="21" max="21" width="23" customWidth="1"/>
    <col min="23" max="23" width="34" customWidth="1"/>
    <col min="25" max="25" width="15" customWidth="1"/>
    <col min="26" max="26" width="9.44140625" customWidth="1"/>
    <col min="27" max="27" width="15.5546875" customWidth="1"/>
    <col min="28" max="28" width="18.5546875" customWidth="1"/>
    <col min="29" max="29" width="14.88671875" customWidth="1"/>
    <col min="30" max="31" width="14.5546875" customWidth="1"/>
    <col min="32" max="32" width="17.44140625" customWidth="1"/>
    <col min="33" max="34" width="14.5546875" customWidth="1"/>
    <col min="35" max="35" width="36.44140625" customWidth="1"/>
    <col min="39" max="39" width="16.44140625" customWidth="1"/>
    <col min="40" max="40" width="34" customWidth="1"/>
    <col min="41" max="41" width="32.5546875" customWidth="1"/>
    <col min="44" max="44" width="134" customWidth="1"/>
    <col min="45" max="45" width="42" customWidth="1"/>
    <col min="46" max="46" width="49.5546875" customWidth="1"/>
    <col min="47" max="47" width="40" customWidth="1"/>
    <col min="48" max="48" width="32.5546875" customWidth="1"/>
    <col min="49" max="49" width="31.5546875" customWidth="1"/>
    <col min="50" max="50" width="26.88671875" customWidth="1"/>
    <col min="51" max="51" width="27.109375" customWidth="1"/>
    <col min="52" max="52" width="26.33203125" customWidth="1"/>
    <col min="53" max="53" width="30.5546875" customWidth="1"/>
    <col min="54" max="54" width="32.109375" customWidth="1"/>
    <col min="55" max="55" width="33.5546875" customWidth="1"/>
    <col min="56" max="56" width="31" customWidth="1"/>
    <col min="57" max="57" width="37.5546875" customWidth="1"/>
    <col min="58" max="58" width="88.6640625" customWidth="1"/>
    <col min="59" max="59" width="30.109375" customWidth="1"/>
    <col min="60" max="60" width="55.5546875" customWidth="1"/>
    <col min="61" max="61" width="103.88671875" customWidth="1"/>
    <col min="63" max="63" width="9.88671875" bestFit="1" customWidth="1"/>
    <col min="66" max="66" width="64.5546875" customWidth="1"/>
  </cols>
  <sheetData>
    <row r="1" spans="2:77" ht="57.6" x14ac:dyDescent="0.3">
      <c r="B1" s="66" t="s">
        <v>198</v>
      </c>
      <c r="C1" s="66" t="s">
        <v>199</v>
      </c>
      <c r="D1" s="66" t="s">
        <v>200</v>
      </c>
      <c r="E1" s="66" t="s">
        <v>201</v>
      </c>
      <c r="F1" s="66" t="s">
        <v>202</v>
      </c>
      <c r="G1" s="66" t="s">
        <v>203</v>
      </c>
      <c r="H1" s="68" t="s">
        <v>204</v>
      </c>
      <c r="I1" s="67" t="s">
        <v>205</v>
      </c>
      <c r="J1" s="6" t="str">
        <f>tbl_Wages[[#Headers],[Wage in price year of analysis (without overhead)]]</f>
        <v>Wage in price year of analysis (without overhead)</v>
      </c>
      <c r="K1" s="6" t="s">
        <v>206</v>
      </c>
      <c r="L1" s="6" t="s">
        <v>207</v>
      </c>
      <c r="M1" s="6" t="s">
        <v>208</v>
      </c>
      <c r="R1" t="s">
        <v>59</v>
      </c>
      <c r="BU1" t="s">
        <v>298</v>
      </c>
    </row>
    <row r="2" spans="2:77" ht="61.5" customHeight="1" x14ac:dyDescent="0.3">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48" cm="1">
        <f t="array" ref="C2:C12">_xlfn.SEQUENCE(11, , 0, 1%)</f>
        <v>0</v>
      </c>
      <c r="D2" cm="1">
        <f t="array" ref="D2:D92">_xlfn.SEQUENCE(91, , 10)</f>
        <v>10</v>
      </c>
      <c r="E2" cm="1">
        <f t="array" ref="E2:E40">_xlfn.SEQUENCE(2050-2012+1, , 2012)</f>
        <v>2012</v>
      </c>
      <c r="F2" cm="1">
        <f t="array" ref="F2:F24">_xlfn._xlws.SORT(tbl_CPI[Year], , -1)</f>
        <v>2024</v>
      </c>
      <c r="G2" t="str" cm="1">
        <f t="array" ref="G2:G13">IF(_xlfn.SEQUENCE(2+Time)=1, "Start of Analytical Period", IF(_xlfn.SEQUENCE(2+Time)=2, "End of Analytical Period", _xlfn.SEQUENCE(Time+2, , YearOfRegistration-2)))</f>
        <v>Start of Analytical Period</v>
      </c>
      <c r="H2" s="71">
        <v>2</v>
      </c>
      <c r="I2" t="str" cm="1">
        <f t="array" ref="I2:I53">tbl_Wages[Number] &amp; " " &amp; tbl_Wages[National Occupational Classification (NOC)]&amp; IFERROR(" ("&amp;DOLLAR(tbl_Wages[Wage in price year of analysis (without overhead)], H2)&amp;")", " (custom wage not added yet)")</f>
        <v>01 Canada average ($34.12)</v>
      </c>
      <c r="J2" s="2" cm="1">
        <f t="array" ref="J2:J53">tbl_Wages[Wage in price year of analysis (without overhead)]</f>
        <v>34.12307203389831</v>
      </c>
      <c r="K2" s="82" cm="1">
        <f t="array" ref="K2:K9">_xlfn.SEQUENCE(Time-2, , YearOfRegistration+1)</f>
        <v>2026</v>
      </c>
      <c r="L2" s="82" t="str" cm="1">
        <f t="array" ref="L2">IF(ISBLANK('Cost-benefit Statement'!$C$12), "", _xlfn.TAKE(_xlfn.DROP(_xlfn._xlws.SORT(_xlfn.HSTACK(_xlfn.ANCHORARRAY(Controls!$K$2), IF(_xlfn.ANCHORARRAY(Controls!$K$2)='Cost-benefit Statement'!$C$12, 1, 0)), 2), -1),, 1))</f>
        <v/>
      </c>
      <c r="M2" s="82" t="str" cm="1">
        <f t="array" ref="M2">IF(ISBLANK('Cost-benefit Statement'!$C$13), "", _xlfn.TAKE(_xlfn.DROP(_xlfn._xlws.SORT(_xlfn.HSTACK(_xlfn.ANCHORARRAY(Controls!$L$2), IF(_xlfn.ANCHORARRAY(Controls!$L$2)='Cost-benefit Statement'!$C$13, 1, 0)), 2), -1),, 1))</f>
        <v/>
      </c>
      <c r="N2" s="10" t="s">
        <v>209</v>
      </c>
      <c r="O2" s="10" t="s">
        <v>289</v>
      </c>
      <c r="P2" s="10" t="s">
        <v>210</v>
      </c>
      <c r="R2" s="28" t="str">
        <f>IF(OneForOneLanding=0,R5,R4)</f>
        <v>The one-for-one rule does not apply as there is no impact on business.</v>
      </c>
      <c r="S2" s="28"/>
      <c r="T2" s="28"/>
      <c r="U2" s="53"/>
      <c r="BU2" s="151" t="str" cm="1">
        <f t="array" ref="BU2">IF('Annual impact'!$C$10="Simple", $BV$2, IF('Annual impact'!$C$10="By Activity",$BW$2:$BW$6,IF('Annual impact'!$C$10="By Stakeholder",$BX$2:$BX$6,$BY$2:$BY$8)))</f>
        <v>Default</v>
      </c>
      <c r="BV2" s="151" t="s">
        <v>128</v>
      </c>
      <c r="BW2" s="151" t="s">
        <v>128</v>
      </c>
      <c r="BX2" s="151" t="s">
        <v>128</v>
      </c>
      <c r="BY2" s="151" t="s">
        <v>128</v>
      </c>
    </row>
    <row r="3" spans="2:77" ht="15" thickBot="1" x14ac:dyDescent="0.35">
      <c r="C3" s="48">
        <v>0.01</v>
      </c>
      <c r="D3">
        <v>11</v>
      </c>
      <c r="E3">
        <v>2013</v>
      </c>
      <c r="F3">
        <v>2023</v>
      </c>
      <c r="G3" t="str">
        <v>End of Analytical Period</v>
      </c>
      <c r="I3" t="str">
        <v>02 Management occupations ($55.68)</v>
      </c>
      <c r="J3">
        <v>55.678672316384187</v>
      </c>
      <c r="K3">
        <v>2027</v>
      </c>
      <c r="N3" s="202" t="s">
        <v>211</v>
      </c>
      <c r="O3" s="1">
        <f>0.07/(1-(1.07)^(-10))</f>
        <v>0.14237750272736471</v>
      </c>
      <c r="P3" s="1" t="s">
        <v>212</v>
      </c>
      <c r="V3" s="57" t="s">
        <v>213</v>
      </c>
      <c r="AS3" s="6"/>
      <c r="AT3" s="6"/>
      <c r="AU3" s="6"/>
      <c r="AV3" s="6"/>
      <c r="AW3" s="6"/>
      <c r="AX3" s="6"/>
      <c r="BU3" s="151"/>
      <c r="BV3" s="151"/>
      <c r="BW3" s="151" t="s">
        <v>292</v>
      </c>
      <c r="BX3" s="151" t="s">
        <v>292</v>
      </c>
      <c r="BY3" s="151" t="s">
        <v>292</v>
      </c>
    </row>
    <row r="4" spans="2:77" ht="15" customHeight="1" thickBot="1" x14ac:dyDescent="0.35">
      <c r="C4" s="48">
        <v>0.02</v>
      </c>
      <c r="D4">
        <v>12</v>
      </c>
      <c r="E4">
        <v>2014</v>
      </c>
      <c r="F4">
        <v>2022</v>
      </c>
      <c r="G4">
        <v>2025</v>
      </c>
      <c r="I4" t="str">
        <v>03 Senior management occupations ($65.36)</v>
      </c>
      <c r="J4">
        <v>65.359943502824862</v>
      </c>
      <c r="K4">
        <v>2028</v>
      </c>
      <c r="N4" s="202" t="s">
        <v>214</v>
      </c>
      <c r="O4" s="1">
        <f>Discount/(1-(1+Discount)^(-Time))</f>
        <v>0.14237750272736471</v>
      </c>
      <c r="P4" s="1" t="s">
        <v>215</v>
      </c>
      <c r="R4" t="str">
        <f>_xlfn.CONCAT(R12, R13)</f>
        <v xml:space="preserve">The one for one rule does not apply as the changes in adminitrative burden on business offset each other, and no regulatory titles are repealed or introduced. 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c r="V4" s="61" t="s">
        <v>3</v>
      </c>
      <c r="W4" s="62" t="s">
        <v>216</v>
      </c>
      <c r="X4" s="62" t="s">
        <v>301</v>
      </c>
      <c r="Y4" s="62" t="s">
        <v>217</v>
      </c>
      <c r="Z4" s="62" t="s">
        <v>2</v>
      </c>
      <c r="AA4" s="62" t="s">
        <v>218</v>
      </c>
      <c r="AB4" s="62" t="s">
        <v>219</v>
      </c>
      <c r="AC4" s="62" t="s">
        <v>220</v>
      </c>
      <c r="AD4" s="58" t="s">
        <v>221</v>
      </c>
      <c r="AE4" s="58" t="s">
        <v>222</v>
      </c>
      <c r="AF4" s="58" t="s">
        <v>223</v>
      </c>
      <c r="AG4" s="58" t="s">
        <v>224</v>
      </c>
      <c r="AH4" s="58" t="s">
        <v>225</v>
      </c>
      <c r="AI4" s="58" t="s">
        <v>226</v>
      </c>
      <c r="AJ4" s="59" t="s">
        <v>227</v>
      </c>
      <c r="AM4" s="60" t="s">
        <v>228</v>
      </c>
      <c r="AN4" s="58" t="s">
        <v>229</v>
      </c>
      <c r="AO4" s="58" t="s">
        <v>230</v>
      </c>
      <c r="AP4" s="58" t="s">
        <v>231</v>
      </c>
      <c r="AQ4" s="58" t="s">
        <v>232</v>
      </c>
      <c r="AR4" s="58" t="s">
        <v>233</v>
      </c>
      <c r="AS4" s="79" t="s">
        <v>234</v>
      </c>
      <c r="AT4" s="79" t="s">
        <v>235</v>
      </c>
      <c r="AU4" s="79" t="s">
        <v>236</v>
      </c>
      <c r="AV4" s="79" t="s">
        <v>237</v>
      </c>
      <c r="AW4" s="58" t="s">
        <v>238</v>
      </c>
      <c r="AX4" s="58" t="s">
        <v>239</v>
      </c>
      <c r="AY4" s="58" t="s">
        <v>240</v>
      </c>
      <c r="AZ4" s="58" t="s">
        <v>241</v>
      </c>
      <c r="BA4" s="58" t="s">
        <v>242</v>
      </c>
      <c r="BB4" s="58" t="s">
        <v>243</v>
      </c>
      <c r="BC4" s="58" t="s">
        <v>244</v>
      </c>
      <c r="BD4" s="58" t="s">
        <v>245</v>
      </c>
      <c r="BE4" s="58" t="s">
        <v>246</v>
      </c>
      <c r="BF4" s="58" t="s">
        <v>247</v>
      </c>
      <c r="BG4" s="58" t="s">
        <v>248</v>
      </c>
      <c r="BH4" s="58" t="s">
        <v>249</v>
      </c>
      <c r="BI4" s="58" t="s">
        <v>250</v>
      </c>
      <c r="BN4" s="27" t="str">
        <f>_xlfn.CONCAT(BN5:BN88)</f>
        <v xml:space="preserve">The amendments related to Activity Name Not Entered represent an annualized total  of $0. 
</v>
      </c>
      <c r="BU4" s="151"/>
      <c r="BV4" s="151"/>
      <c r="BW4" s="151" t="s">
        <v>293</v>
      </c>
      <c r="BX4" s="151" t="s">
        <v>293</v>
      </c>
      <c r="BY4" s="151" t="s">
        <v>293</v>
      </c>
    </row>
    <row r="5" spans="2:77" ht="66" customHeight="1" x14ac:dyDescent="0.3">
      <c r="C5" s="48">
        <v>0.03</v>
      </c>
      <c r="D5">
        <v>13</v>
      </c>
      <c r="E5">
        <v>2015</v>
      </c>
      <c r="F5">
        <v>2021</v>
      </c>
      <c r="G5">
        <v>2026</v>
      </c>
      <c r="I5" t="str">
        <v>04 Specialized middle management occupations ($60.20)</v>
      </c>
      <c r="J5">
        <v>60.201144067796612</v>
      </c>
      <c r="K5">
        <v>2029</v>
      </c>
      <c r="N5" s="199" t="s">
        <v>287</v>
      </c>
      <c r="O5" s="200" t="e" cm="1" vm="1">
        <f t="array" ref="O5">_xlfn.LAMBDA(_xlpm.SelectAnyActivity, _xlfn.LET(_xlpm.FilteredStakeholders, _xlfn._xlws.FILTER(tbl_Stakeholders[Stakeholder Group], tbl_Stakeholders[Stakeholder Group]&lt;&gt;""),
_xlfn.MAKEARRAY(ROWS(_xlpm.FilteredStakeholders)-1, COLUMNS(tbl_Activities[])-2, _xlfn.LAMBDA(_xlpm.r,_xlpm.c,
     IF(_xlpm.c=7, INDEX(_xlfn.TAKE(_xlfn.DROP(_xlfn._xlws.SORT(_xlfn.HSTACK(_xlpm.FilteredStakeholders, IF(tbl_Stakeholders[Stakeholder Group]=INDEX(tbl_Activities[], ROW(_xlpm.SelectAnyActivity)-ROW(tbl_Activities[#Headers]), 7), 1, 0)), 2), -1),,1), _xlpm.r),
     INDEX(_xlfn.DROP(tbl_Activities[], , -2), ROW(_xlpm.SelectAnyActivity)-ROW(tbl_Activities[#Headers]), _xlpm.c))))))</f>
        <v>#VALUE!</v>
      </c>
      <c r="P5" s="201" t="s">
        <v>290</v>
      </c>
      <c r="R5" t="str">
        <f>IF(SUM(tbl_Stakeholders[Small Business Count])+SUM(tbl_Stakeholders[Med/Large Business Count])=0,Controls!R7,IF(AND(Controls!S36=0,Initiative!D8=0,Initiative!D9=0),Controls!R8,IF(AND(Controls!S36=0,Initiative!D8=Initiative!D9),Controls!R9,R10)))</f>
        <v>The one-for-one rule does not apply as there is no impact on business.</v>
      </c>
      <c r="V5" s="9"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_xlfn.XLOOKUP(_xlfn.ANCHORARRAY($V5),ActivityNumber,tbl_Activities[Cost or Benefit],0,1)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_xlfn.LET(_xlpm.WageClass,LEFT(INDEX(tbl_Activities[Labour: Staff Level (Hourly Wage Without Overhead)],_xlfn.ANCHORARRAY($V$5)), 3),IFERROR(INDEX(_xlfn.ANCHORARRAY(Controls!$J$2), MATCH(_xlpm.WageClass, LEFT(_xlfn.ANCHORARRAY(Controls!$I$2), 3), 0)), IFERROR(INDEX(tbl_Activities[Labour: Staff Level (Hourly Wage Without Overhead)],_xlfn.ANCHORARRAY($V$5)), "")))*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(((SUMIFS(_xlfn.ANCHORARRAY(All!$X2),_xlfn.ANCHORARRAY(All!$A2),_xlfn.ANCHORARRAY($V5),_xlfn.ANCHORARRAY(All!$E2),"&lt;"&amp;YearOfRegistration+"10")*OneforOne_CPI_Conversion)*1.07^-Years_since_2012)*0.07)/(1-(1+'One-for-one'!$C$9)^-10)</f>
        <v>0</v>
      </c>
      <c r="AJ5" s="78" cm="1">
        <f t="array" ref="AJ5">_xlfn.MAXIFS(_xlfn.ANCHORARRAY(All!$K2),_xlfn.ANCHORARRAY(All!$A2),_xlfn.ANCHORARRAY($V5))+_xlfn.MAXIFS(_xlfn.ANCHORARRAY(All!$L2),_xlfn.ANCHORARRAY(All!$A2),_xlfn.ANCHORARRAY($V5))</f>
        <v>0</v>
      </c>
      <c r="AM5" s="6" t="str" cm="1">
        <f t="array" ref="AM5">_xlfn.UNIQUE(_xlfn.ANCHORARRAY(W5))</f>
        <v>Activity Name Not Entered</v>
      </c>
      <c r="AN5" s="54" cm="1">
        <f t="array" ref="AN5">SUMIFS(_xlfn.ANCHORARRAY($AI5),_xlfn.ANCHORARRAY($W5),_xlfn.ANCHORARRAY($AM5),_xlfn.ANCHORARRAY($Y5),"Labour",_xlfn.ANCHORARRAY($X5),"Cost")</f>
        <v>0</v>
      </c>
      <c r="AO5" s="54" cm="1">
        <f t="array" ref="AO5">SUMIFS(_xlfn.ANCHORARRAY($AI5),_xlfn.ANCHORARRAY($W5),_xlfn.ANCHORARRAY($AM5),_xlfn.ANCHORARRAY($Y5),"Labour",_xlfn.ANCHORARRAY($X5),"Benefit")</f>
        <v>0</v>
      </c>
      <c r="AP5" s="54" cm="1">
        <f t="array" ref="AP5">SUMIFS(_xlfn.ANCHORARRAY($AI5),_xlfn.ANCHORARRAY($W5),_xlfn.ANCHORARRAY($AM5),_xlfn.ANCHORARRAY($Y5),"Capital",_xlfn.ANCHORARRAY($X5),"Cost")</f>
        <v>0</v>
      </c>
      <c r="AQ5" s="54" cm="1">
        <f t="array" ref="AQ5">SUMIFS(_xlfn.ANCHORARRAY($AI5),_xlfn.ANCHORARRAY($W5),_xlfn.ANCHORARRAY($AM5),_xlfn.ANCHORARRAY($Y5),"Capital",_xlfn.ANCHORARRAY($X5),"Benefit")</f>
        <v>0</v>
      </c>
      <c r="AR5" s="64" t="str" cm="1">
        <f t="array" ref="AR5">$U$21&amp;_xlfn.ANCHORARRAY(AM5)&amp;" represent "&amp;IF(--(_xlfn.ANCHORARRAY(AN5)+_xlfn.ANCHORARRAY(AP5)=0)+--(_xlfn.ANCHORARRAY(AO5)+_xlfn.ANCHORARRAY(AQ5)=0)&gt;0,"an annualized total ","an annualized net ")&amp;IF((_xlfn.ANCHORARRAY(AN5)+_xlfn.ANCHORARRAY(AO5)+_xlfn.ANCHORARRAY(AP5)+_xlfn.ANCHORARRAY(AQ5))&lt;0,"cost",IF((_xlfn.ANCHORARRAY(AN5)+_xlfn.ANCHORARRAY(AO5)+_xlfn.ANCHORARRAY(AP5)+_xlfn.ANCHORARRAY(AQ5))&gt;0,"cost savings",""))
&amp;" of "&amp;DOLLAR(ABS(_xlfn.ANCHORARRAY($AN5)+_xlfn.ANCHORARRAY(AO5)+_xlfn.ANCHORARRAY(AP5)+_xlfn.ANCHORARRAY(AQ5)),0)&amp;". "</f>
        <v xml:space="preserve">The amendments related to Activity Name Not Entered represent an annualized total  of $0. </v>
      </c>
      <c r="AS5" t="str" cm="1">
        <f t="array" ref="AS5">_xlfn.LET(_xlpm.BizCount, _xlfn.MAXIFS(_xlfn.ANCHORARRAY($AJ5),_xlfn.ANCHORARRAY($W5),_xlfn.ANCHORARRAY($AM5),_xlfn.ANCHORARRAY($X5),"Cost",_xlfn.ANCHORARRAY($Y5),"Labour",_xlfn.ANCHORARRAY(AJ5),"&gt;0"),IF(_xlpm.BizCount=1,"One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_xlfn.MAXIFS(_xlfn.ANCHORARRAY($AJ5),_xlfn.ANCHORARRAY($W5),_xlfn.ANCHORARRAY($AM5),_xlfn.ANCHORARRAY($X5),"Benefit",_xlfn.ANCHORARRAY($Y5),"Labour"),IF(_xlpm.BizCount=1,"One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_xlfn.MAXIFS(_xlfn.ANCHORARRAY($AJ5),_xlfn.ANCHORARRAY($W5),_xlfn.ANCHORARRAY($AM5),_xlfn.ANCHORARRAY($X5),"Cost",_xlfn.ANCHORARRAY($Y5),"Capital"),IF(_xlpm.BizCount=1,"One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_xlfn.MAXIFS(_xlfn.ANCHORARRAY($AJ5),_xlfn.ANCHORARRAY($W5),_xlfn.ANCHORARRAY($AM5),_xlfn.ANCHORARRAY($X5),"Benefit",_xlfn.ANCHORARRAY($Y5),"Capital"),IF(_xlpm.BizCount=1,"One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26" t="str" cm="1">
        <f t="array" ref="AW5">_xlfn.LET(_xlpm.AVGLabHours, SUMIFS(_xlfn.ANCHORARRAY($AC5),_xlfn.ANCHORARRAY($W5),_xlfn.ANCHORARRAY($AM5),_xlfn.ANCHORARRAY($X5),"Cost",_xlfn.ANCHORARRAY(AJ5),"&gt;0"), IF(_xlpm.AVGLabHours=0,"",IF(_xlpm.AVGLabHours&lt;1,_xlpm.AVGLabHours * 60 &amp; " minutes",IF(_xlpm.AVGLabHours=1, "one hour",IF(_xlpm.AVGLabHours&lt;10,INDEX(tbl_NumberWord[],_xlpm.AVGLabHours,2) &amp; " hours", ROUND(_xlpm.AVGLabHours, 2) &amp;" hours"))) &amp; " to complete the task "))</f>
        <v/>
      </c>
      <c r="AX5" s="26" t="str" cm="1">
        <f t="array" ref="AX5">_xlfn.LET(_xlpm.AVGLabHours, SUMIFS(_xlfn.ANCHORARRAY($AC5),_xlfn.ANCHORARRAY($W5),_xlfn.ANCHORARRAY($AM5),_xlfn.ANCHORARRAY($X5),"Benefit",_xlfn.ANCHORARRAY(AJ5),"&gt;0"),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26" t="str" cm="1">
        <f t="array" ref="AY5">_xlfn.LET(_xlpm.CapUnits, SUMIFS(_xlfn.ANCHORARRAY($AA5),_xlfn.ANCHORARRAY($W5),_xlfn.ANCHORARRAY($AM5),_xlfn.ANCHORARRAY($X5),"Cost",_xlfn.ANCHORARRAY(AJ5),"&gt;0"),IF(_xlpm.CapUnits=0,"",IF(_xlpm.CapUnits &lt;1, _xlpm.CapUnits &amp; " units ",IF(_xlpm.CapUnits =1, "one unit ",IF(_xlpm.CapUnits&lt;10,INDEX(tbl_NumberWord[],_xlpm.CapUnits,2) &amp; " units ", _xlpm.CapUnits &amp;" units ")))))</f>
        <v/>
      </c>
      <c r="AZ5" s="26" t="str" cm="1">
        <f t="array" ref="AZ5">_xlfn.LET(_xlpm.CapUnits, SUMIFS(_xlfn.ANCHORARRAY($AA5),_xlfn.ANCHORARRAY($W5),_xlfn.ANCHORARRAY($AM5),_xlfn.ANCHORARRAY($X5),"Benefit",_xlfn.ANCHORARRAY(AJ5),"&gt;0"),IF(_xlpm.CapUnits=0,"",IF(_xlpm.CapUnits &lt;1, _xlpm.CapUnits &amp; " units ",IF(_xlpm.CapUnits =1, "one unit ",IF(_xlpm.CapUnits&lt;10,INDEX(tbl_NumberWord[],_xlpm.CapUnits,2) &amp; " units ", _xlpm.CapUnits &amp;" units ")))))</f>
        <v/>
      </c>
      <c r="BA5" s="26" t="str" cm="1">
        <f t="array" ref="BA5">_xlfn.LET(_xlpm.LabFreq, _xlfn.MAXIFS(_xlfn.ANCHORARRAY($Z5),_xlfn.ANCHORARRAY($W5),_xlfn.ANCHORARRAY($AM5),_xlfn.ANCHORARRAY($X5),"Cost",_xlfn.ANCHORARRAY($Y5),"Labour",_xlfn.ANCHORARRAY(AJ5),"&gt;0"),IF(_xlpm.LabFreq=0,"",IF(_xlpm.LabFreq&lt;1, "every " &amp; ROUND(1/_xlpm.LabFreq,0) &amp; " years. ",IF(_xlpm.LabFreq=1, "once per year. ",IF(_xlpm.LabFreq&lt;10,INDEX(tbl_NumberWord[],_xlpm.LabFreq,2)&amp; " times per year. ",_xlpm.LabFreq &amp; " times per year. "))) ))</f>
        <v/>
      </c>
      <c r="BB5" s="26" t="str" cm="1">
        <f t="array" ref="BB5">_xlfn.LET(_xlpm.LabFreq, _xlfn.MAXIFS(_xlfn.ANCHORARRAY($Z5),_xlfn.ANCHORARRAY($W5),_xlfn.ANCHORARRAY($AM5),_xlfn.ANCHORARRAY($X5),"Benefit",_xlfn.ANCHORARRAY($Y5),"Labour",_xlfn.ANCHORARRAY(AJ5),"&gt;0"),IF(_xlpm.LabFreq=0,"",IF(_xlpm.LabFreq&lt;1, "every " &amp; ROUND(1/_xlpm.LabFreq,0) &amp; " years. ",IF(_xlpm.LabFreq=1, "once per year. ",IF(_xlpm.LabFreq&lt;10,INDEX(tbl_NumberWord[],_xlpm.LabFreq,2) &amp;" times per year. ",_xlpm.LabFreq&amp; " times per year. "))) ))</f>
        <v/>
      </c>
      <c r="BC5" s="26" t="str" cm="1">
        <f t="array" ref="BC5">_xlfn.LET(_xlpm.LabFreq, _xlfn.MAXIFS(_xlfn.ANCHORARRAY($Z5),_xlfn.ANCHORARRAY($W5),_xlfn.ANCHORARRAY($AM5),_xlfn.ANCHORARRAY($X5),"Cost",_xlfn.ANCHORARRAY($Y5),"Capital",_xlfn.ANCHORARRAY(AJ5),"&gt;0"),IF(_xlpm.LabFreq=0,"",IF(_xlpm.LabFreq&lt;1, "every " &amp; ROUND(1/_xlpm.LabFreq,0) &amp; " years. ",IF(_xlpm.LabFreq=1, "once per year. ",IF(_xlpm.LabFreq&lt;10,INDEX(tbl_NumberWord[],_xlpm.LabFreq,2)&amp; " times per year. ",_xlpm.LabFreq&amp; " times per year. "))) ))</f>
        <v/>
      </c>
      <c r="BD5" s="26" t="str" cm="1">
        <f t="array" ref="BD5">_xlfn.LET(_xlpm.LabFreq, _xlfn.MAXIFS(_xlfn.ANCHORARRAY($Z5),_xlfn.ANCHORARRAY($W5),_xlfn.ANCHORARRAY($AM5),_xlfn.ANCHORARRAY($X5),"Benefit",_xlfn.ANCHORARRAY($Y5),"Capital",_xlfn.ANCHORARRAY(AJ5),"&gt;0"),IF(_xlpm.LabFreq=0,"",IF(_xlpm.LabFreq&lt;1, "every " &amp; ROUND(1/_xlpm.LabFreq,0) &amp; " years. ",IF(_xlpm.LabFreq=1, " once per year. ",IF(_xlpm.LabFreq&lt;10,INDEX(tbl_NumberWord[],_xlpm.LabFreq,2)&amp; " times per year. ",_xlpm.LabFreq&amp; " times per year. "))) ))</f>
        <v/>
      </c>
      <c r="BE5" s="6" t="str" cm="1">
        <f t="array" ref="BE5">_xlfn.LET(_xlpm.AvgWage, IFERROR(SUMIFS(_xlfn.ANCHORARRAY($AF5),_xlfn.ANCHORARRAY($W5),_xlfn.ANCHORARRAY($AM5),_xlfn.ANCHORARRAY($Y5),"Labour",_xlfn.ANCHORARRAY($X5),"Cost",_xlfn.ANCHORARRAY(AJ5),"&gt;0")/SUMIFS(_xlfn.ANCHORARRAY($AE5),_xlfn.ANCHORARRAY($W5),_xlfn.ANCHORARRAY($AM5),_xlfn.ANCHORARRAY($Y5),"Labour",_xlfn.ANCHORARRAY($X5),"Cost",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Benefit",_xlfn.ANCHORARRAY(AJ5),"&gt;0")/SUMIFS(_xlfn.ANCHORARRAY($AE5),_xlfn.ANCHORARRAY($W5),_xlfn.ANCHORARRAY($AM5),_xlfn.ANCHORARRAY($Y5),"Labour",_xlfn.ANCHORARRAY($X5),"Benefit",_xlfn.ANCHORARRAY(AJ5),"&gt;0"),0), IF(_xlpm.AvgWage=0,"", "The average wage (including overhead) of the responsible individual is estimated to be " &amp; DOLLAR(_xlpm.AvgWage,2)&amp; ". "))</f>
        <v/>
      </c>
      <c r="BG5" s="65" t="str" cm="1">
        <f t="array" ref="BG5">_xlfn.LET(_xlpm.AvgCapCost, IFERROR(SUMIFS(_xlfn.ANCHORARRAY($AH5),_xlfn.ANCHORARRAY($W5),_xlfn.ANCHORARRAY($AM5),_xlfn.ANCHORARRAY($Y5),"capital",_xlfn.ANCHORARRAY($X5),"Cost",_xlfn.ANCHORARRAY(AJ5),"&gt;0")/SUMIFS(_xlfn.ANCHORARRAY($AG5),_xlfn.ANCHORARRAY($W5),_xlfn.ANCHORARRAY($AM5),_xlfn.ANCHORARRAY($Y5),"Capital",_xlfn.ANCHORARRAY($X5),"Cost",_xlfn.ANCHORARRAY(AJ5),"&gt;0"),0), IF(_xlpm.AvgCapCost=0,"","an average of " &amp; DOLLAR(_xlpm.AvgCapCost,2) &amp; " per unit to purchase "))</f>
        <v/>
      </c>
      <c r="BH5" s="5" t="str" cm="1">
        <f t="array" ref="BH5">_xlfn.LET(_xlpm.AvgCapCost, IFERROR(SUMIFS(_xlfn.ANCHORARRAY($AH5),_xlfn.ANCHORARRAY($W5),_xlfn.ANCHORARRAY($AM5),_xlfn.ANCHORARRAY($Y5),"capital",_xlfn.ANCHORARRAY($X5),"Benefit",_xlfn.ANCHORARRAY(AJ5),"&gt;0")/SUMIFS(_xlfn.ANCHORARRAY($AG5),_xlfn.ANCHORARRAY($W5),_xlfn.ANCHORARRAY($AM5),_xlfn.ANCHORARRAY($Y5),"Capital",_xlfn.ANCHORARRAY($X5),"Benefit",_xlfn.ANCHORARRAY(AJ5),"&gt;0"),0), IF(_xlpm.AvgCapCost=0,"","an average of " &amp; DOLLAR(_xlpm.AvgCapCost,2) &amp; " per unit by not having to purchase "))</f>
        <v/>
      </c>
      <c r="BI5" s="6"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amendments related to Activity Name Not Entered represent an annualized total  of $0. 
</v>
      </c>
      <c r="BJ5" s="54"/>
      <c r="BK5" s="54" cm="1">
        <f t="array" ref="BK5">_xlfn.ANCHORARRAY(AN5)+_xlfn.ANCHORARRAY(AO5)+_xlfn.ANCHORARRAY(AP5)+_xlfn.ANCHORARRAY(AQ5)</f>
        <v>0</v>
      </c>
      <c r="BL5" t="str" cm="1">
        <f t="array" ref="BL5">_xlfn.ANCHORARRAY(BI5)</f>
        <v xml:space="preserve">The amendments related to Activity Name Not Entered represent an annualized total  of $0. 
</v>
      </c>
      <c r="BM5" cm="1">
        <f t="array" ref="BM5:BN5">_xlfn._xlws.SORT(_xlfn.ANCHORARRAY(BK5):_xlfn.ANCHORARRAY(BL5),1,-1)</f>
        <v>0</v>
      </c>
      <c r="BN5" s="6" t="str">
        <v xml:space="preserve">The amendments related to Activity Name Not Entered represent an annualized total  of $0. 
</v>
      </c>
      <c r="BU5" s="151"/>
      <c r="BV5" s="151"/>
      <c r="BW5" s="151" t="s">
        <v>296</v>
      </c>
      <c r="BX5" s="151" t="s">
        <v>294</v>
      </c>
      <c r="BY5" s="151" t="s">
        <v>294</v>
      </c>
    </row>
    <row r="6" spans="2:77" ht="43.2" x14ac:dyDescent="0.3">
      <c r="C6" s="48">
        <v>0.04</v>
      </c>
      <c r="D6">
        <v>14</v>
      </c>
      <c r="E6">
        <v>2016</v>
      </c>
      <c r="F6">
        <v>2020</v>
      </c>
      <c r="G6">
        <v>2027</v>
      </c>
      <c r="I6" t="str">
        <v>05 Middle management occupations in retail and wholesale trade and customer services ($44.63)</v>
      </c>
      <c r="J6">
        <v>44.633841807909604</v>
      </c>
      <c r="K6">
        <v>2030</v>
      </c>
      <c r="N6" s="199" t="s">
        <v>288</v>
      </c>
      <c r="O6" s="200" t="e" cm="1" vm="1">
        <f t="array" ref="O6">_xlfn.LAMBDA(_xlpm.a,_xlop.b,_xlop.c,_xlop.d,_xlop.e,_xlop.f,_xlop.g,_xlop.h,_xlop.i,_xlop.j,_xlop.k,_xlop.l,_xlop.m,_xlop.n,_xlop.o,_xlop.p,_xlop.q,_xlop.r,_xlop.s,_xlop.t,_xlop.u,_xlop.v,_xlop.w,_xlop.x,_xlop.y,_xlop.z,_xlop.aa,_xlop.ab,_xlop.ac,_xlop.ad,_xlop.ae,_xlop.af,_xlop.ag,_xlop.ah,_xlop.ai,_xlop.aj,_xlop.ak,_xlop.al,_xlop.am,_xlop.an,_xlop.ao,_xlop.ap,_xlop.aq,_xlop.ar,_xlop.as,_xlop.at,_xlop.au,_xlop.av,_xlop.aw,_xlfn.LET(_xlpm.b_,NOT(_xlfn.ISOMITTED(_xlpm.b)),_xlpm.c_,NOT(_xlfn.ISOMITTED(_xlpm.c)),_xlpm.d_,NOT(_xlfn.ISOMITTED(_xlpm.d)),_xlpm.e_,NOT(_xlfn.ISOMITTED(_xlpm.e)),_xlpm.f_,NOT(_xlfn.ISOMITTED(_xlpm.f)),_xlpm.g_,NOT(_xlfn.ISOMITTED(_xlpm.g)),_xlpm.h_,NOT(_xlfn.ISOMITTED(_xlpm.h)),_xlpm.i_,NOT(_xlfn.ISOMITTED(_xlpm.i)),_xlpm.j_,NOT(_xlfn.ISOMITTED(_xlpm.j)),_xlpm.k_,NOT(_xlfn.ISOMITTED(_xlpm.k)),_xlpm.l_,NOT(_xlfn.ISOMITTED(_xlpm.l)),_xlpm.m_,NOT(_xlfn.ISOMITTED(_xlpm.m)),_xlpm.n_,NOT(_xlfn.ISOMITTED(_xlpm.n)),_xlpm.o_,NOT(_xlfn.ISOMITTED(_xlpm.o)),_xlpm.p_,NOT(_xlfn.ISOMITTED(_xlpm.p)),_xlpm.q_,NOT(_xlfn.ISOMITTED(_xlpm.q)),_xlpm.r_,NOT(_xlfn.ISOMITTED(_xlpm.r)),_xlpm.s_,NOT(_xlfn.ISOMITTED(_xlpm.s)),_xlpm.t_,NOT(_xlfn.ISOMITTED(_xlpm.t)),_xlpm.u_,NOT(_xlfn.ISOMITTED(_xlpm.u)),_xlpm.v_,NOT(_xlfn.ISOMITTED(_xlpm.v)),_xlpm.w_,NOT(_xlfn.ISOMITTED(_xlpm.w)),_xlpm.x_,NOT(_xlfn.ISOMITTED(_xlpm.x)),_xlpm.y_,NOT(_xlfn.ISOMITTED(_xlpm.y)),_xlpm.z_,NOT(_xlfn.ISOMITTED(_xlpm.z)),_xlpm.aa_,NOT(_xlfn.ISOMITTED(_xlpm.aa)),_xlpm.ab_,NOT(_xlfn.ISOMITTED(_xlpm.ab)),_xlpm.ac_,NOT(_xlfn.ISOMITTED(_xlpm.ac)),_xlpm.ad_,NOT(_xlfn.ISOMITTED(_xlpm.ad)),_xlpm.ae_,NOT(_xlfn.ISOMITTED(_xlpm.ae)),_xlpm.af_,NOT(_xlfn.ISOMITTED(_xlpm.af)),_xlpm.ag_,NOT(_xlfn.ISOMITTED(_xlpm.ag)),_xlpm.ah_,NOT(_xlfn.ISOMITTED(_xlpm.ah)),_xlpm.ai_,NOT(_xlfn.ISOMITTED(_xlpm.ai)),_xlpm.aj_,NOT(_xlfn.ISOMITTED(_xlpm.aj)),_xlpm.ak_,NOT(_xlfn.ISOMITTED(_xlpm.ak)),_xlpm.al_,NOT(_xlfn.ISOMITTED(_xlpm.al)),_xlpm.am_,NOT(_xlfn.ISOMITTED(_xlpm.am)),_xlpm.an_,NOT(_xlfn.ISOMITTED(_xlpm.an)),_xlpm.ao_,NOT(_xlfn.ISOMITTED(_xlpm.ao)),_xlpm.ap_,NOT(_xlfn.ISOMITTED(_xlpm.ap)),_xlpm.aq_,NOT(_xlfn.ISOMITTED(_xlpm.aq)),_xlpm.ar_,NOT(_xlfn.ISOMITTED(_xlpm.ar)),_xlpm.as_,NOT(_xlfn.ISOMITTED(_xlpm.as)),_xlpm.at_,NOT(_xlfn.ISOMITTED(_xlpm.at)),_xlpm.au_,NOT(_xlfn.ISOMITTED(_xlpm.au)),_xlpm.av_,NOT(_xlfn.ISOMITTED(_xlpm.av)),_xlpm.aw_,NOT(_xlfn.ISOMITTED(_xlpm.aw)),_xlpm.prs, _xlpm.b_+_xlpm.c_+_xlpm.d_+_xlpm.e_+_xlpm.f_+_xlpm.g_+_xlpm.h_+_xlpm.i_+_xlpm.j_+_xlpm.k_+_xlpm.l_+_xlpm.m_+_xlpm.n_+_xlpm.o_+_xlpm.p_+_xlpm.q_+_xlpm.r_+_xlpm.s_+_xlpm.t_+_xlpm.u_+_xlpm.v_+_xlpm.w_+_xlpm.x_+_xlpm.y_+_xlpm.z_+_xlpm.aa_+_xlpm.ab_+_xlpm.ac_+_xlpm.ad_+_xlpm.ae_+_xlpm.af_+_xlpm.ag_+_xlpm.ah_+_xlpm.ai_+_xlpm.aj_+_xlpm.ak_+_xlpm.al_+_xlpm.am_+_xlpm.an_+_xlpm.ao_+_xlpm.ap_+_xlpm.aq_+_xlpm.ar_+_xlpm.as_+_xlpm.at_+_xlpm.au_+_xlpm.av_+_xlpm.aw_,_xlfn.MAKEARRAY(_xlpm.prs,19,_xlfn.LAMBDA(_xlpm.rr,_xlpm.cc,IF(_xlpm.cc=7,INDEX(_xlfn.TAKE(_xlfn.VSTACK(IF(_xlpm.b_,_xlpm.b),IF(_xlpm.c_,_xlpm.c),IF(_xlpm.d_,_xlpm.d),IF(_xlpm.e_,_xlpm.e),IF(_xlpm.f_,_xlpm.f),IF(_xlpm.g_,_xlpm.g),IF(_xlpm.h_,_xlpm.h),IF(_xlpm.i_,_xlpm.i),IF(_xlpm.j_,_xlpm.j),IF(_xlpm.k_,_xlpm.k),IF(_xlpm.l_,_xlpm.l),IF(_xlpm.m_,_xlpm.m),IF(_xlpm.n_,_xlpm.n),IF(_xlpm.o_,_xlpm.o),IF(_xlpm.p_,_xlpm.p),IF(_xlpm.q_,_xlpm.q),IF(_xlpm.r_,_xlpm.r),IF(_xlpm.s_,_xlpm.s),IF(_xlpm.t_,_xlpm.t),IF(_xlpm.u_,_xlpm.u),IF(_xlpm.v_,_xlpm.v),IF(_xlpm.w_,_xlpm.w),IF(_xlpm.x_,_xlpm.x),IF(_xlpm.y_,_xlpm.y),IF(_xlpm.z_,_xlpm.z),IF(_xlpm.aa_,_xlpm.aa),IF(_xlpm.ab_,_xlpm.ab),IF(_xlpm.ac_,_xlpm.ac),IF(_xlpm.ad_,_xlpm.ad),IF(_xlpm.ae_,_xlpm.ae),IF(_xlpm.af_,_xlpm.af),IF(_xlpm.ag_,_xlpm.ag),IF(_xlpm.ah_,_xlpm.ah),IF(_xlpm.ai_,_xlpm.ai),IF(_xlpm.aj_,_xlpm.aj),IF(_xlpm.ak_,_xlpm.ak),IF(_xlpm.al_,_xlpm.al),IF(_xlpm.am_,_xlpm.am),IF(_xlpm.an_,_xlpm.an),IF(_xlpm.ao_,_xlpm.ao),IF(_xlpm.ap_,_xlpm.ap),IF(_xlpm.aq_,_xlpm.aq),IF(_xlpm.ar_,_xlpm.ar),IF(_xlpm.as_,_xlpm.as),IF(_xlpm.at_,_xlpm.at),IF(_xlpm.au_,_xlpm.au),IF(_xlpm.av_,_xlpm.av),IF(_xlpm.aw_,_xlpm.aw)),_xlpm.prs),_xlpm.rr),INDEX(tbl_Activities[], ROW(_xlpm.a)-ROW(tbl_Activities[#Headers]), _xlpm.cc))))))</f>
        <v>#VALUE!</v>
      </c>
      <c r="P6" s="201" t="s">
        <v>291</v>
      </c>
      <c r="R6" t="s">
        <v>251</v>
      </c>
      <c r="AB6" s="55"/>
      <c r="AN6" s="54"/>
      <c r="AO6" s="54"/>
      <c r="AR6" s="63"/>
      <c r="AX6" s="6"/>
      <c r="BF6" s="6"/>
      <c r="BG6" s="5"/>
      <c r="BH6" s="5"/>
      <c r="BI6" s="27"/>
      <c r="BU6" s="151"/>
      <c r="BV6" s="151"/>
      <c r="BW6" s="151" t="s">
        <v>297</v>
      </c>
      <c r="BX6" s="151" t="s">
        <v>295</v>
      </c>
      <c r="BY6" s="151" t="s">
        <v>295</v>
      </c>
    </row>
    <row r="7" spans="2:77" ht="102.75" customHeight="1" x14ac:dyDescent="0.3">
      <c r="C7" s="48">
        <v>0.05</v>
      </c>
      <c r="D7">
        <v>15</v>
      </c>
      <c r="E7">
        <v>2017</v>
      </c>
      <c r="F7">
        <v>2019</v>
      </c>
      <c r="G7">
        <v>2028</v>
      </c>
      <c r="I7" t="str">
        <v>06 Middle management occupations in trades, transportation, production and utilities ($52.45)</v>
      </c>
      <c r="J7">
        <v>52.451581920903955</v>
      </c>
      <c r="K7">
        <v>2031</v>
      </c>
      <c r="R7" t="s">
        <v>252</v>
      </c>
      <c r="AN7" s="54"/>
      <c r="AO7" s="54"/>
      <c r="BG7" s="5"/>
      <c r="BH7" s="5"/>
      <c r="BI7" s="6"/>
      <c r="BU7" s="151"/>
      <c r="BV7" s="151"/>
      <c r="BW7" s="151"/>
      <c r="BX7" s="151"/>
      <c r="BY7" s="151" t="s">
        <v>296</v>
      </c>
    </row>
    <row r="8" spans="2:77" ht="74.25" customHeight="1" x14ac:dyDescent="0.3">
      <c r="C8" s="48">
        <v>6.0000000000000005E-2</v>
      </c>
      <c r="D8">
        <v>16</v>
      </c>
      <c r="E8">
        <v>2018</v>
      </c>
      <c r="F8">
        <v>2018</v>
      </c>
      <c r="G8">
        <v>2029</v>
      </c>
      <c r="I8" t="str">
        <v>07 Business, finance and administration occupations ($33.94)</v>
      </c>
      <c r="J8">
        <v>33.941264124293788</v>
      </c>
      <c r="K8">
        <v>2032</v>
      </c>
      <c r="N8" s="2"/>
      <c r="O8" s="2"/>
      <c r="P8" s="2"/>
      <c r="R8" t="s">
        <v>253</v>
      </c>
      <c r="AN8" s="54"/>
      <c r="AO8" s="54"/>
      <c r="BG8" s="5"/>
      <c r="BH8" s="5"/>
      <c r="BI8" s="6"/>
      <c r="BU8" s="151"/>
      <c r="BV8" s="151"/>
      <c r="BW8" s="151"/>
      <c r="BX8" s="151"/>
      <c r="BY8" s="151" t="s">
        <v>297</v>
      </c>
    </row>
    <row r="9" spans="2:77" x14ac:dyDescent="0.3">
      <c r="C9" s="48">
        <v>7.0000000000000007E-2</v>
      </c>
      <c r="D9">
        <v>17</v>
      </c>
      <c r="E9">
        <v>2019</v>
      </c>
      <c r="F9">
        <v>2017</v>
      </c>
      <c r="G9">
        <v>2030</v>
      </c>
      <c r="I9" t="str">
        <v>08 Professional occupations in business and finance ($44.44)</v>
      </c>
      <c r="J9">
        <v>44.440670903954803</v>
      </c>
      <c r="K9">
        <v>2033</v>
      </c>
      <c r="R9" t="s">
        <v>254</v>
      </c>
      <c r="AN9" s="54"/>
      <c r="AO9" s="54"/>
      <c r="BG9" s="5"/>
      <c r="BH9" s="5"/>
      <c r="BI9" s="6"/>
    </row>
    <row r="10" spans="2:77" x14ac:dyDescent="0.3">
      <c r="C10" s="48">
        <v>0.08</v>
      </c>
      <c r="D10">
        <v>18</v>
      </c>
      <c r="E10">
        <v>2020</v>
      </c>
      <c r="F10">
        <v>2016</v>
      </c>
      <c r="G10">
        <v>2031</v>
      </c>
      <c r="I10" t="str">
        <v>09 Administrative and financial supervisors and administrative occupations ($32.83)</v>
      </c>
      <c r="J10">
        <v>32.827690677966103</v>
      </c>
      <c r="P10" s="12"/>
      <c r="R10" s="80" t="str">
        <f>"The one-for-one rule applies. There is no incremental change in administrative burden on business. The proposal "
&amp; IF(Initiative!D8&gt;1, "repeals " &amp; Initiative!D8 &amp; " existing regulations ", IF(Initiative!D8=1, "an existing regulation ", "does not repeal any existing regulations "))
&amp; "and it adds " &amp; IF(Initiative!D9&gt;1, Initiative!D9&amp; " new regulatory titles, ", "a new regulatory title, ") &amp; "which results in " &amp; IF(Initiative!D9-Initiative!D8&lt;0, "a net decrease ",IF(Initiative!D9-Initiative!D8&gt;0, "a net increase ", "no net increase or decrease in regulatory titles." )) &amp; "of " &amp; ABS(Initiative!D8-Initiative!D9) &amp; " regulatory title"&amp;IF(ABS(Initiative!D8-Initiative!D9)&gt;1, "s", "")&amp;"."</f>
        <v>The one-for-one rule applies. There is no incremental change in administrative burden on business. The proposal does not repeal any existing regulations and it adds a new regulatory title, which results in no net increase or decrease in regulatory titles.of 0 regulatory title.</v>
      </c>
      <c r="AN10" s="54"/>
      <c r="AO10" s="54"/>
      <c r="BG10" s="5"/>
      <c r="BH10" s="5"/>
      <c r="BI10" s="6"/>
    </row>
    <row r="11" spans="2:77" x14ac:dyDescent="0.3">
      <c r="C11" s="48">
        <v>0.09</v>
      </c>
      <c r="D11">
        <v>19</v>
      </c>
      <c r="E11">
        <v>2021</v>
      </c>
      <c r="F11">
        <v>2015</v>
      </c>
      <c r="G11">
        <v>2032</v>
      </c>
      <c r="I11" t="str">
        <v>10 Finance, insurance and related business administrative occupations ($33.32)</v>
      </c>
      <c r="J11">
        <v>33.316299435028256</v>
      </c>
      <c r="AN11" s="54"/>
      <c r="AO11" s="54"/>
      <c r="BG11" s="5"/>
      <c r="BH11" s="5"/>
      <c r="BI11" s="6"/>
    </row>
    <row r="12" spans="2:77" ht="18" customHeight="1" x14ac:dyDescent="0.3">
      <c r="C12" s="48">
        <v>9.9999999999999992E-2</v>
      </c>
      <c r="D12">
        <v>20</v>
      </c>
      <c r="E12">
        <v>2022</v>
      </c>
      <c r="F12">
        <v>2014</v>
      </c>
      <c r="G12">
        <v>2033</v>
      </c>
      <c r="I12" t="str">
        <v>11 Office support occupations ($26.56)</v>
      </c>
      <c r="J12">
        <v>26.555317796610172</v>
      </c>
      <c r="R12" s="6"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_xlfn.XLOOKUP(Initiative!$D$5,Controls!$P$22:$P$26,Controls!$S$22:$S$26,"There is no change in the number of titles",0,1)</f>
        <v xml:space="preserve">The one for one rule does not apply as the changes in adminitrative burden on business offset each other, and no regulatory titles are repealed or introduced. </v>
      </c>
      <c r="S12" s="9"/>
      <c r="U12" s="9"/>
    </row>
    <row r="13" spans="2:77" ht="16.5" customHeight="1" x14ac:dyDescent="0.3">
      <c r="D13">
        <v>21</v>
      </c>
      <c r="E13">
        <v>2023</v>
      </c>
      <c r="F13">
        <v>2013</v>
      </c>
      <c r="G13">
        <v>2034</v>
      </c>
      <c r="I13" t="str">
        <v>12 Distribution, tracking and scheduling co-ordination occupations ($27.09)</v>
      </c>
      <c r="J13">
        <v>27.08937853107345</v>
      </c>
      <c r="R13" s="27" t="str">
        <f>IF(Initiative!$D$5=$P$22, "The amendments ", "The regulations ") &amp; "would result in an annualized administrative "
&amp; IF(AND(COUNTIF(tbl_Activities[Cost or Benefit],"out")&gt;0,COUNTIF(tbl_Activities[Cost or Benefit],"in")&gt;0),"net ","total ")
&amp;IF(OneForOneLanding&lt;0,"cost of ","cost savings of ")
&amp;DOLLAR(ABS(OneForOneLanding),0)
&amp; ". " &amp; CHAR(10) &amp; R14 &amp; CHAR(10)
&amp;IF(AND(COUNTIF(tbl_Activities[Cost or Benefit],"out")&gt;0,COUNTIF(tbl_Activities[Cost or Benefit],"in")&gt;0), "The total annualized cost savings from reduced administrative burden is estimated to be " &amp; DOLLAR('One-for-one'!N40,0) &amp; ". " &amp; CHAR(10),  "")
&amp; IF(AND(COUNTIF(tbl_Activities[Cost or Benefit],"in")&gt;0,COUNTIF(tbl_Activities[Cost or Benefit],"out")&gt;0), "The total annualized cost of the incremental administrative burden is estimated to be " &amp; DOLLAR('One-for-one'!N33,0) &amp; ". " &amp; CHAR(10), "")
&amp;BN4</f>
        <v xml:space="preserve">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row>
    <row r="14" spans="2:77" x14ac:dyDescent="0.3">
      <c r="D14">
        <v>22</v>
      </c>
      <c r="E14">
        <v>2024</v>
      </c>
      <c r="F14">
        <v>2012</v>
      </c>
      <c r="I14" t="str">
        <v>13 Natural and applied sciences and related occupations ($45.44)</v>
      </c>
      <c r="J14">
        <v>45.440614406779666</v>
      </c>
      <c r="R14" s="30"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9"/>
      <c r="BI14" s="6"/>
    </row>
    <row r="15" spans="2:77" x14ac:dyDescent="0.3">
      <c r="D15">
        <v>23</v>
      </c>
      <c r="E15">
        <v>2025</v>
      </c>
      <c r="F15">
        <v>2011</v>
      </c>
      <c r="I15" t="str">
        <v>14 Professional occupations in natural and applied sciences ($49.82)</v>
      </c>
      <c r="J15">
        <v>49.815367231638426</v>
      </c>
    </row>
    <row r="16" spans="2:77" x14ac:dyDescent="0.3">
      <c r="D16">
        <v>24</v>
      </c>
      <c r="E16">
        <v>2026</v>
      </c>
      <c r="F16">
        <v>2010</v>
      </c>
      <c r="I16" t="str">
        <v>15 Technical occupations related to natural and applied sciences ($37.82)</v>
      </c>
      <c r="J16">
        <v>37.816045197740117</v>
      </c>
      <c r="R16" t="s">
        <v>255</v>
      </c>
    </row>
    <row r="17" spans="4:21" x14ac:dyDescent="0.3">
      <c r="D17">
        <v>25</v>
      </c>
      <c r="E17">
        <v>2027</v>
      </c>
      <c r="F17">
        <v>2009</v>
      </c>
      <c r="I17" t="str">
        <v>16 Health occupations ($36.19)</v>
      </c>
      <c r="J17">
        <v>36.191137005649722</v>
      </c>
      <c r="R17" t="s">
        <v>256</v>
      </c>
    </row>
    <row r="18" spans="4:21" x14ac:dyDescent="0.3">
      <c r="D18">
        <v>26</v>
      </c>
      <c r="E18">
        <v>2028</v>
      </c>
      <c r="F18">
        <v>2008</v>
      </c>
      <c r="I18" t="str">
        <v>17 Professional occupations in nursing ($44.99)</v>
      </c>
      <c r="J18">
        <v>44.986094632768371</v>
      </c>
    </row>
    <row r="19" spans="4:21" x14ac:dyDescent="0.3">
      <c r="D19">
        <v>27</v>
      </c>
      <c r="E19">
        <v>2029</v>
      </c>
      <c r="F19">
        <v>2007</v>
      </c>
      <c r="I19" t="str">
        <v>18 Professional occupations in health (except nursing) ($47.28)</v>
      </c>
      <c r="J19">
        <v>47.281419491525426</v>
      </c>
    </row>
    <row r="20" spans="4:21" x14ac:dyDescent="0.3">
      <c r="D20">
        <v>28</v>
      </c>
      <c r="E20">
        <v>2030</v>
      </c>
      <c r="F20">
        <v>2006</v>
      </c>
      <c r="I20" t="str">
        <v>19 Technical occupations in health ($33.85)</v>
      </c>
      <c r="J20">
        <v>33.85036016949153</v>
      </c>
    </row>
    <row r="21" spans="4:21" x14ac:dyDescent="0.3">
      <c r="D21">
        <v>29</v>
      </c>
      <c r="E21">
        <v>2031</v>
      </c>
      <c r="F21">
        <v>2005</v>
      </c>
      <c r="I21" t="str">
        <v>20 Assisting occupations in support of health services ($25.18)</v>
      </c>
      <c r="J21">
        <v>25.180395480225993</v>
      </c>
      <c r="Q21" t="s">
        <v>257</v>
      </c>
      <c r="R21" t="s">
        <v>258</v>
      </c>
      <c r="U21" t="str">
        <f>_xlfn.XLOOKUP(Initiative!$D$5,Controls!$P$22:$P$26,Controls!$U$22:$U$26,0,0,1)</f>
        <v xml:space="preserve">The amendments related to </v>
      </c>
    </row>
    <row r="22" spans="4:21" x14ac:dyDescent="0.3">
      <c r="D22">
        <v>30</v>
      </c>
      <c r="E22">
        <v>2032</v>
      </c>
      <c r="F22">
        <v>2004</v>
      </c>
      <c r="I22" t="str">
        <v>21 Occupations in education, law and social, community and government services ($40.18)</v>
      </c>
      <c r="J22">
        <v>40.179548022598873</v>
      </c>
      <c r="P22" t="s">
        <v>92</v>
      </c>
      <c r="Q22">
        <v>0</v>
      </c>
      <c r="R22">
        <v>0</v>
      </c>
      <c r="S22" t="s">
        <v>259</v>
      </c>
      <c r="U22" t="str">
        <f>"The amendments related to "</f>
        <v xml:space="preserve">The amendments related to </v>
      </c>
    </row>
    <row r="23" spans="4:21" x14ac:dyDescent="0.3">
      <c r="D23">
        <v>31</v>
      </c>
      <c r="E23">
        <v>2033</v>
      </c>
      <c r="F23">
        <v>2003</v>
      </c>
      <c r="I23" t="str">
        <v>22 Professional occupations in education services ($45.42)</v>
      </c>
      <c r="J23">
        <v>45.417888418079094</v>
      </c>
      <c r="P23" t="s">
        <v>260</v>
      </c>
      <c r="Q23">
        <v>0</v>
      </c>
      <c r="R23">
        <v>1</v>
      </c>
      <c r="S23" t="s">
        <v>261</v>
      </c>
      <c r="U23" t="str">
        <f>"The new administrative requirements related to "</f>
        <v xml:space="preserve">The new administrative requirements related to </v>
      </c>
    </row>
    <row r="24" spans="4:21" x14ac:dyDescent="0.3">
      <c r="D24">
        <v>32</v>
      </c>
      <c r="E24">
        <v>2034</v>
      </c>
      <c r="F24">
        <v>2002</v>
      </c>
      <c r="I24" t="str">
        <v>23 Professional occupations in law and social, community and government services ($45.49)</v>
      </c>
      <c r="J24">
        <v>45.486066384180795</v>
      </c>
      <c r="P24" t="s">
        <v>262</v>
      </c>
      <c r="Q24">
        <v>1</v>
      </c>
      <c r="R24">
        <v>0</v>
      </c>
      <c r="S24" t="s">
        <v>263</v>
      </c>
      <c r="U24" t="str">
        <f>" The repeal of administrative requirements related to "</f>
        <v xml:space="preserve"> The repeal of administrative requirements related to </v>
      </c>
    </row>
    <row r="25" spans="4:21" x14ac:dyDescent="0.3">
      <c r="D25">
        <v>33</v>
      </c>
      <c r="E25">
        <v>2035</v>
      </c>
      <c r="I25" t="str">
        <v>24 Paraprofessional occupations in legal, social, community and education services ($27.16)</v>
      </c>
      <c r="J25">
        <v>27.15755649717514</v>
      </c>
      <c r="P25" t="s">
        <v>264</v>
      </c>
      <c r="Q25">
        <v>1</v>
      </c>
      <c r="R25">
        <v>1</v>
      </c>
      <c r="S25" t="s">
        <v>265</v>
      </c>
      <c r="U25" t="str">
        <f>"The administrative requirements related to "</f>
        <v xml:space="preserve">The administrative requirements related to </v>
      </c>
    </row>
    <row r="26" spans="4:21" x14ac:dyDescent="0.3">
      <c r="D26">
        <v>34</v>
      </c>
      <c r="E26">
        <v>2036</v>
      </c>
      <c r="I26" t="str">
        <v>25 Occupations in front-line public protection services ($50.39)</v>
      </c>
      <c r="J26">
        <v>50.394879943502836</v>
      </c>
      <c r="P26" t="s">
        <v>266</v>
      </c>
      <c r="Q26" t="s">
        <v>267</v>
      </c>
      <c r="R26">
        <v>1</v>
      </c>
      <c r="S26" t="str">
        <f>_xlfn.CONCAT("the proposal repeals ", _xlfn.XLOOKUP(Initiative!$D$8,$P$34:$P$43,Q34:Q43,Initiative!$D$8,0,1), " existing regulatory titles and adds ", _xlfn.XLOOKUP(Initiative!$D$9,$P$34:$P$43,Q34:Q43,Initiative!$D$9,0,1), " new regulatory title; as a result, a net of ",_xlfn.XLOOKUP(ABS(Initiative!$D$8 -Initiative!$D$9),$P$34:$P$43,Q34:Q43,ABS(Initiative!$D$8 -Initiative!$D$9),0,1)," titles ", IF(Initiative!$D$8 -Initiative!$D$9&lt;0,"in","out"), " is counted under the rule. ")</f>
        <v xml:space="preserve">the proposal repeals 0 existing regulatory titles and adds 0 new regulatory title; as a result, a net of 0 titles out is counted under the rule. </v>
      </c>
      <c r="U26" t="str">
        <f>"The administrative requirements related to "</f>
        <v xml:space="preserve">The administrative requirements related to </v>
      </c>
    </row>
    <row r="27" spans="4:21" x14ac:dyDescent="0.3">
      <c r="D27">
        <v>35</v>
      </c>
      <c r="E27">
        <v>2037</v>
      </c>
      <c r="I27" t="str">
        <v>26 Care providers and educational, legal and public protection support occupations ($27.11)</v>
      </c>
      <c r="J27">
        <v>27.112104519774014</v>
      </c>
    </row>
    <row r="28" spans="4:21" x14ac:dyDescent="0.3">
      <c r="D28">
        <v>36</v>
      </c>
      <c r="E28">
        <v>2038</v>
      </c>
      <c r="I28" t="str">
        <v>27 Occupations in art, culture, recreation and sport ($32.25)</v>
      </c>
      <c r="J28">
        <v>32.248177966101693</v>
      </c>
    </row>
    <row r="29" spans="4:21" x14ac:dyDescent="0.3">
      <c r="D29">
        <v>37</v>
      </c>
      <c r="E29">
        <v>2039</v>
      </c>
      <c r="I29" t="str">
        <v>28 Professional occupations in art and culture ($37.27)</v>
      </c>
      <c r="J29">
        <v>37.270621468926549</v>
      </c>
    </row>
    <row r="30" spans="4:21" x14ac:dyDescent="0.3">
      <c r="D30">
        <v>38</v>
      </c>
      <c r="E30">
        <v>2040</v>
      </c>
      <c r="I30" t="str">
        <v>29 Technical occupations in art, culture, recreation and sport ($30.20)</v>
      </c>
      <c r="J30">
        <v>30.202838983050846</v>
      </c>
    </row>
    <row r="31" spans="4:21" x14ac:dyDescent="0.3">
      <c r="D31">
        <v>39</v>
      </c>
      <c r="E31">
        <v>2041</v>
      </c>
      <c r="I31" t="str">
        <v>30 Sales and service occupations ($22.21)</v>
      </c>
      <c r="J31">
        <v>22.214653954802262</v>
      </c>
    </row>
    <row r="32" spans="4:21" x14ac:dyDescent="0.3">
      <c r="D32">
        <v>40</v>
      </c>
      <c r="E32">
        <v>2042</v>
      </c>
      <c r="I32" t="str">
        <v>31 Retail sales supervisors and specialized sales occupations ($28.96)</v>
      </c>
      <c r="J32">
        <v>28.964272598870053</v>
      </c>
    </row>
    <row r="33" spans="4:21" x14ac:dyDescent="0.3">
      <c r="D33">
        <v>41</v>
      </c>
      <c r="E33">
        <v>2043</v>
      </c>
      <c r="I33" t="str">
        <v>32 Service supervisors and specialized service occupations ($22.54)</v>
      </c>
      <c r="J33">
        <v>22.544180790960453</v>
      </c>
      <c r="P33" t="s">
        <v>268</v>
      </c>
      <c r="Q33" t="s">
        <v>269</v>
      </c>
    </row>
    <row r="34" spans="4:21" x14ac:dyDescent="0.3">
      <c r="D34">
        <v>42</v>
      </c>
      <c r="E34">
        <v>2044</v>
      </c>
      <c r="I34" t="str">
        <v>33 Sales representatives and salespersons - wholesale and retail trade ($23.23)</v>
      </c>
      <c r="J34">
        <v>23.225960451977404</v>
      </c>
      <c r="P34">
        <v>1</v>
      </c>
      <c r="Q34" t="s">
        <v>270</v>
      </c>
    </row>
    <row r="35" spans="4:21" x14ac:dyDescent="0.3">
      <c r="D35">
        <v>43</v>
      </c>
      <c r="E35">
        <v>2045</v>
      </c>
      <c r="I35" t="str">
        <v>34 Service representatives and other customer and personal services occupations ($22.35)</v>
      </c>
      <c r="J35">
        <v>22.351009887005652</v>
      </c>
      <c r="P35">
        <v>2</v>
      </c>
      <c r="Q35" t="s">
        <v>271</v>
      </c>
    </row>
    <row r="36" spans="4:21" x14ac:dyDescent="0.3">
      <c r="D36">
        <v>44</v>
      </c>
      <c r="E36">
        <v>2046</v>
      </c>
      <c r="I36" t="str">
        <v>35 Sales support occupations ($17.56)</v>
      </c>
      <c r="J36">
        <v>17.555826271186444</v>
      </c>
      <c r="P36">
        <v>3</v>
      </c>
      <c r="Q36" t="s">
        <v>272</v>
      </c>
      <c r="S36" s="5"/>
    </row>
    <row r="37" spans="4:21" x14ac:dyDescent="0.3">
      <c r="D37">
        <v>45</v>
      </c>
      <c r="E37">
        <v>2047</v>
      </c>
      <c r="I37" t="str">
        <v>36 Service support and other service occupations, n.e.c. ($19.93)</v>
      </c>
      <c r="J37">
        <v>19.930692090395482</v>
      </c>
      <c r="P37">
        <v>4</v>
      </c>
      <c r="Q37" t="s">
        <v>273</v>
      </c>
    </row>
    <row r="38" spans="4:21" x14ac:dyDescent="0.3">
      <c r="D38">
        <v>46</v>
      </c>
      <c r="E38">
        <v>2048</v>
      </c>
      <c r="I38" t="str">
        <v>37 Trades, transport and equipment operators and related occupations ($32.58)</v>
      </c>
      <c r="J38">
        <v>32.577704802259895</v>
      </c>
      <c r="P38">
        <v>5</v>
      </c>
      <c r="Q38" t="s">
        <v>274</v>
      </c>
    </row>
    <row r="39" spans="4:21" x14ac:dyDescent="0.3">
      <c r="D39">
        <v>47</v>
      </c>
      <c r="E39">
        <v>2049</v>
      </c>
      <c r="I39" t="str">
        <v>38 Industrial, electrical and construction trades ($36.44)</v>
      </c>
      <c r="J39">
        <v>36.441122881355938</v>
      </c>
      <c r="P39">
        <v>6</v>
      </c>
      <c r="Q39" t="s">
        <v>275</v>
      </c>
    </row>
    <row r="40" spans="4:21" x14ac:dyDescent="0.3">
      <c r="D40">
        <v>48</v>
      </c>
      <c r="E40">
        <v>2050</v>
      </c>
      <c r="I40" t="str">
        <v>39 Maintenance and equipment operation trades ($36.99)</v>
      </c>
      <c r="J40">
        <v>36.986546610169491</v>
      </c>
      <c r="P40">
        <v>7</v>
      </c>
      <c r="Q40" t="s">
        <v>276</v>
      </c>
    </row>
    <row r="41" spans="4:21" x14ac:dyDescent="0.3">
      <c r="D41">
        <v>49</v>
      </c>
      <c r="I41" t="str">
        <v>40 Other installers, repairers and servicers and material handlers ($25.15)</v>
      </c>
      <c r="J41">
        <v>25.146306497175143</v>
      </c>
      <c r="P41">
        <v>8</v>
      </c>
      <c r="Q41" t="s">
        <v>277</v>
      </c>
    </row>
    <row r="42" spans="4:21" x14ac:dyDescent="0.3">
      <c r="D42">
        <v>50</v>
      </c>
      <c r="I42" t="str">
        <v>41 Transport and heavy equipment operation and related maintenance occupations ($28.35)</v>
      </c>
      <c r="J42">
        <v>28.350670903954803</v>
      </c>
      <c r="P42">
        <v>9</v>
      </c>
      <c r="Q42" t="s">
        <v>278</v>
      </c>
      <c r="T42" s="14"/>
      <c r="U42" s="6"/>
    </row>
    <row r="43" spans="4:21" x14ac:dyDescent="0.3">
      <c r="D43">
        <v>51</v>
      </c>
      <c r="I43" t="str">
        <v>42 Trades helpers, construction labourers and related occupations ($27.37)</v>
      </c>
      <c r="J43">
        <v>27.373453389830509</v>
      </c>
      <c r="P43">
        <v>10</v>
      </c>
      <c r="Q43" t="s">
        <v>279</v>
      </c>
      <c r="T43" s="6"/>
      <c r="U43" s="15"/>
    </row>
    <row r="44" spans="4:21" x14ac:dyDescent="0.3">
      <c r="D44">
        <v>52</v>
      </c>
      <c r="I44" t="str">
        <v>43 Natural resources, agriculture and related production occupations ($29.52)</v>
      </c>
      <c r="J44">
        <v>29.521059322033899</v>
      </c>
      <c r="P44">
        <v>20</v>
      </c>
      <c r="Q44" t="s">
        <v>280</v>
      </c>
    </row>
    <row r="45" spans="4:21" x14ac:dyDescent="0.3">
      <c r="D45">
        <v>53</v>
      </c>
      <c r="I45" t="str">
        <v>44 Supervisors and technical occupations in natural resources, agriculture and related production ($40.13)</v>
      </c>
      <c r="J45">
        <v>40.134096045197744</v>
      </c>
      <c r="P45">
        <v>30</v>
      </c>
      <c r="Q45" t="s">
        <v>281</v>
      </c>
    </row>
    <row r="46" spans="4:21" x14ac:dyDescent="0.3">
      <c r="D46">
        <v>54</v>
      </c>
      <c r="I46" t="str">
        <v>45 Workers in natural resources, agriculture and related production ($23.85)</v>
      </c>
      <c r="J46">
        <v>23.850925141242936</v>
      </c>
      <c r="P46">
        <v>40</v>
      </c>
      <c r="Q46" t="s">
        <v>282</v>
      </c>
    </row>
    <row r="47" spans="4:21" x14ac:dyDescent="0.3">
      <c r="D47">
        <v>55</v>
      </c>
      <c r="I47" t="str">
        <v>46 Harvesting, landscaping and natural resources labourers ($24.04)</v>
      </c>
      <c r="J47">
        <v>24.044096045197744</v>
      </c>
      <c r="P47">
        <v>50</v>
      </c>
      <c r="Q47" t="s">
        <v>283</v>
      </c>
    </row>
    <row r="48" spans="4:21" x14ac:dyDescent="0.3">
      <c r="D48">
        <v>56</v>
      </c>
      <c r="I48" t="str">
        <v>47 Occupations in manufacturing and utilities ($28.24)</v>
      </c>
      <c r="J48">
        <v>28.237040960451981</v>
      </c>
      <c r="P48">
        <v>100</v>
      </c>
      <c r="Q48" t="s">
        <v>284</v>
      </c>
    </row>
    <row r="49" spans="4:19" x14ac:dyDescent="0.3">
      <c r="D49">
        <v>57</v>
      </c>
      <c r="I49" t="str">
        <v>48 Processing, manufacturing and utilities supervisors and central control operators ($39.83)</v>
      </c>
      <c r="J49">
        <v>39.827295197740114</v>
      </c>
    </row>
    <row r="50" spans="4:19" x14ac:dyDescent="0.3">
      <c r="D50">
        <v>58</v>
      </c>
      <c r="I50" t="str">
        <v>49 Processing and manufacturing machine operators and related production workers ($25.42)</v>
      </c>
      <c r="J50">
        <v>25.419018361581923</v>
      </c>
    </row>
    <row r="51" spans="4:19" x14ac:dyDescent="0.3">
      <c r="D51">
        <v>59</v>
      </c>
      <c r="I51" t="str">
        <v>50 Assemblers in manufacturing ($26.07)</v>
      </c>
      <c r="J51">
        <v>26.066709039548027</v>
      </c>
    </row>
    <row r="52" spans="4:19" x14ac:dyDescent="0.3">
      <c r="D52">
        <v>60</v>
      </c>
      <c r="I52" t="str">
        <v>51 Labourers in processing, manufacturing and utilities ($22.28)</v>
      </c>
      <c r="J52">
        <v>22.282831920903956</v>
      </c>
    </row>
    <row r="53" spans="4:19" x14ac:dyDescent="0.3">
      <c r="D53">
        <v>61</v>
      </c>
      <c r="I53" t="str">
        <v>52 Custom Wage #1 (custom wage not added yet)</v>
      </c>
      <c r="J53" t="str">
        <v/>
      </c>
    </row>
    <row r="54" spans="4:19" x14ac:dyDescent="0.3">
      <c r="D54">
        <v>62</v>
      </c>
      <c r="R54" s="29"/>
    </row>
    <row r="55" spans="4:19" x14ac:dyDescent="0.3">
      <c r="D55">
        <v>63</v>
      </c>
    </row>
    <row r="56" spans="4:19" x14ac:dyDescent="0.3">
      <c r="D56">
        <v>64</v>
      </c>
    </row>
    <row r="57" spans="4:19" x14ac:dyDescent="0.3">
      <c r="D57">
        <v>65</v>
      </c>
    </row>
    <row r="58" spans="4:19" x14ac:dyDescent="0.3">
      <c r="D58">
        <v>66</v>
      </c>
      <c r="P58" s="6"/>
      <c r="R58" s="13"/>
      <c r="S58" s="26"/>
    </row>
    <row r="59" spans="4:19" x14ac:dyDescent="0.3">
      <c r="D59">
        <v>67</v>
      </c>
      <c r="S59" s="26"/>
    </row>
    <row r="60" spans="4:19" x14ac:dyDescent="0.3">
      <c r="D60">
        <v>68</v>
      </c>
      <c r="S60" s="26"/>
    </row>
    <row r="61" spans="4:19" x14ac:dyDescent="0.3">
      <c r="D61">
        <v>69</v>
      </c>
    </row>
    <row r="62" spans="4:19" x14ac:dyDescent="0.3">
      <c r="D62">
        <v>70</v>
      </c>
    </row>
    <row r="63" spans="4:19" x14ac:dyDescent="0.3">
      <c r="D63">
        <v>71</v>
      </c>
    </row>
    <row r="64" spans="4:19" x14ac:dyDescent="0.3">
      <c r="D64">
        <v>72</v>
      </c>
      <c r="Q64" s="13"/>
      <c r="R64" s="5"/>
    </row>
    <row r="65" spans="4:4" x14ac:dyDescent="0.3">
      <c r="D65">
        <v>73</v>
      </c>
    </row>
    <row r="66" spans="4:4" x14ac:dyDescent="0.3">
      <c r="D66">
        <v>74</v>
      </c>
    </row>
    <row r="67" spans="4:4" x14ac:dyDescent="0.3">
      <c r="D67">
        <v>75</v>
      </c>
    </row>
    <row r="68" spans="4:4" x14ac:dyDescent="0.3">
      <c r="D68">
        <v>76</v>
      </c>
    </row>
    <row r="69" spans="4:4" x14ac:dyDescent="0.3">
      <c r="D69">
        <v>77</v>
      </c>
    </row>
    <row r="70" spans="4:4" x14ac:dyDescent="0.3">
      <c r="D70">
        <v>78</v>
      </c>
    </row>
    <row r="71" spans="4:4" x14ac:dyDescent="0.3">
      <c r="D71">
        <v>79</v>
      </c>
    </row>
    <row r="72" spans="4:4" x14ac:dyDescent="0.3">
      <c r="D72">
        <v>80</v>
      </c>
    </row>
    <row r="73" spans="4:4" x14ac:dyDescent="0.3">
      <c r="D73">
        <v>81</v>
      </c>
    </row>
    <row r="74" spans="4:4" x14ac:dyDescent="0.3">
      <c r="D74">
        <v>82</v>
      </c>
    </row>
    <row r="75" spans="4:4" x14ac:dyDescent="0.3">
      <c r="D75">
        <v>83</v>
      </c>
    </row>
    <row r="76" spans="4:4" x14ac:dyDescent="0.3">
      <c r="D76">
        <v>84</v>
      </c>
    </row>
    <row r="77" spans="4:4" x14ac:dyDescent="0.3">
      <c r="D77">
        <v>85</v>
      </c>
    </row>
    <row r="78" spans="4:4" x14ac:dyDescent="0.3">
      <c r="D78">
        <v>86</v>
      </c>
    </row>
    <row r="79" spans="4:4" x14ac:dyDescent="0.3">
      <c r="D79">
        <v>87</v>
      </c>
    </row>
    <row r="80" spans="4:4" x14ac:dyDescent="0.3">
      <c r="D80">
        <v>88</v>
      </c>
    </row>
    <row r="81" spans="4:4" x14ac:dyDescent="0.3">
      <c r="D81">
        <v>89</v>
      </c>
    </row>
    <row r="82" spans="4:4" x14ac:dyDescent="0.3">
      <c r="D82">
        <v>90</v>
      </c>
    </row>
    <row r="83" spans="4:4" x14ac:dyDescent="0.3">
      <c r="D83">
        <v>91</v>
      </c>
    </row>
    <row r="84" spans="4:4" x14ac:dyDescent="0.3">
      <c r="D84">
        <v>92</v>
      </c>
    </row>
    <row r="85" spans="4:4" x14ac:dyDescent="0.3">
      <c r="D85">
        <v>93</v>
      </c>
    </row>
    <row r="86" spans="4:4" x14ac:dyDescent="0.3">
      <c r="D86">
        <v>94</v>
      </c>
    </row>
    <row r="87" spans="4:4" x14ac:dyDescent="0.3">
      <c r="D87">
        <v>95</v>
      </c>
    </row>
    <row r="88" spans="4:4" x14ac:dyDescent="0.3">
      <c r="D88">
        <v>96</v>
      </c>
    </row>
    <row r="89" spans="4:4" x14ac:dyDescent="0.3">
      <c r="D89">
        <v>97</v>
      </c>
    </row>
    <row r="90" spans="4:4" x14ac:dyDescent="0.3">
      <c r="D90">
        <v>98</v>
      </c>
    </row>
    <row r="91" spans="4:4" x14ac:dyDescent="0.3">
      <c r="D91">
        <v>99</v>
      </c>
    </row>
    <row r="92" spans="4:4" x14ac:dyDescent="0.3">
      <c r="D92">
        <v>100</v>
      </c>
    </row>
  </sheetData>
  <dataValidations disablePrompts="1" count="1">
    <dataValidation type="list" allowBlank="1" showInputMessage="1" showErrorMessage="1" sqref="H2" xr:uid="{3773CA78-172A-4EB1-B7EB-1325FCACBFA7}">
      <formula1>"0, 2"</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3.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5.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2.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3.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AF567B0-53AE-4976-9FEF-74BC92060D80}">
  <ds:schemaRefs>
    <ds:schemaRef ds:uri="http://schemas.microsoft.com/DataMashup"/>
  </ds:schemaRefs>
</ds:datastoreItem>
</file>

<file path=customXml/itemProps5.xml><?xml version="1.0" encoding="utf-8"?>
<ds:datastoreItem xmlns:ds="http://schemas.openxmlformats.org/officeDocument/2006/customXml" ds:itemID="{D95EDFCC-17C6-45ED-BE18-15C465AE308F}">
  <ds:schemaRefs>
    <ds:schemaRef ds:uri="http://schemas.microsoft.com/office/2006/metadata/properties"/>
    <ds:schemaRef ds:uri="http://schemas.microsoft.com/office/infopath/2007/PartnerControls"/>
    <ds:schemaRef ds:uri="2abf2189-68c2-4ddb-adff-1183eca9c339"/>
    <ds:schemaRef ds:uri="4e83f676-8cd4-4cac-9a4e-1c9624eae427"/>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25</vt:i4>
      </vt:variant>
    </vt:vector>
  </HeadingPairs>
  <TitlesOfParts>
    <vt:vector size="37" baseType="lpstr">
      <vt:lpstr>Read Me</vt:lpstr>
      <vt:lpstr>Initiative</vt:lpstr>
      <vt:lpstr>Stakeholders</vt:lpstr>
      <vt:lpstr>Activities</vt:lpstr>
      <vt:lpstr>One-for-one</vt:lpstr>
      <vt:lpstr>SBL</vt:lpstr>
      <vt:lpstr>Annual impact</vt:lpstr>
      <vt:lpstr>Cost-benefit Statement</vt:lpstr>
      <vt:lpstr>Labour</vt:lpstr>
      <vt:lpstr>CPI</vt:lpstr>
      <vt:lpstr>All</vt:lpstr>
      <vt:lpstr>Controls</vt:lpstr>
      <vt:lpstr>ActivityLanding</vt:lpstr>
      <vt:lpstr>AF</vt:lpstr>
      <vt:lpstr>AF_7_10</vt:lpstr>
      <vt:lpstr>AnnualImpactLanding</vt:lpstr>
      <vt:lpstr>AnnualStakeholderCounts</vt:lpstr>
      <vt:lpstr>CostBenefitStatementLanding</vt:lpstr>
      <vt:lpstr>Custom_Labour</vt:lpstr>
      <vt:lpstr>Discount</vt:lpstr>
      <vt:lpstr>InitiativeDetailsLanding</vt:lpstr>
      <vt:lpstr>List_Amendment_Repeal</vt:lpstr>
      <vt:lpstr>List_New_Regulation_Repeal</vt:lpstr>
      <vt:lpstr>List_Repeal_and_Replace_Repeal</vt:lpstr>
      <vt:lpstr>List_Repeal_Only</vt:lpstr>
      <vt:lpstr>OneForOneLanding</vt:lpstr>
      <vt:lpstr>OneforOneText</vt:lpstr>
      <vt:lpstr>optional</vt:lpstr>
      <vt:lpstr>PriceYear</vt:lpstr>
      <vt:lpstr>PVBaseYear</vt:lpstr>
      <vt:lpstr>SBLLanding</vt:lpstr>
      <vt:lpstr>StakeholderProfileLanding</vt:lpstr>
      <vt:lpstr>Tbl_NOc</vt:lpstr>
      <vt:lpstr>TenCount</vt:lpstr>
      <vt:lpstr>Time</vt:lpstr>
      <vt:lpstr>versiondate</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cp:lastPrinted>2025-03-27T17:30:16Z</cp:lastPrinted>
  <dcterms:created xsi:type="dcterms:W3CDTF">2024-04-02T17:30:06Z</dcterms:created>
  <dcterms:modified xsi:type="dcterms:W3CDTF">2025-04-03T21:28:41Z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