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xl/drawings/drawing2.xml" ContentType="application/vnd.openxmlformats-officedocument.drawing+xml"/>
  <Override PartName="/xl/drawings/drawing3.xml" ContentType="application/vnd.openxmlformats-officedocument.drawing+xml"/>
  <Override PartName="/xl/tables/table2.xml" ContentType="application/vnd.openxmlformats-officedocument.spreadsheetml.table+xml"/>
  <Override PartName="/xl/drawings/drawing4.xml" ContentType="application/vnd.openxmlformats-officedocument.drawing+xml"/>
  <Override PartName="/xl/tables/table3.xml" ContentType="application/vnd.openxmlformats-officedocument.spreadsheetml.table+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tables/table4.xml" ContentType="application/vnd.openxmlformats-officedocument.spreadsheetml.table+xml"/>
  <Override PartName="/xl/drawings/drawing14.xml" ContentType="application/vnd.openxmlformats-officedocument.drawing+xml"/>
  <Override PartName="/xl/tables/table5.xml" ContentType="application/vnd.openxmlformats-officedocument.spreadsheetml.table+xml"/>
  <Override PartName="/xl/queryTables/queryTable2.xml" ContentType="application/vnd.openxmlformats-officedocument.spreadsheetml.queryTable+xml"/>
  <Override PartName="/xl/drawings/drawing15.xml" ContentType="application/vnd.openxmlformats-officedocument.drawing+xml"/>
  <Override PartName="/xl/drawings/drawing16.xml" ContentType="application/vnd.openxmlformats-officedocument.drawing+xml"/>
  <Override PartName="/xl/tables/table6.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66925"/>
  <mc:AlternateContent xmlns:mc="http://schemas.openxmlformats.org/markup-compatibility/2006">
    <mc:Choice Requires="x15">
      <x15ac:absPath xmlns:x15ac="http://schemas.microsoft.com/office/spreadsheetml/2010/11/ac" url="C:\Users\andrew.reid\Documents\RCC\Presentation\"/>
    </mc:Choice>
  </mc:AlternateContent>
  <xr:revisionPtr revIDLastSave="0" documentId="13_ncr:1_{5FF3A6F3-77BB-4B36-B3C0-F46B0C17628C}" xr6:coauthVersionLast="47" xr6:coauthVersionMax="47" xr10:uidLastSave="{00000000-0000-0000-0000-000000000000}"/>
  <bookViews>
    <workbookView xWindow="-120" yWindow="-16320" windowWidth="29040" windowHeight="15840" tabRatio="955" xr2:uid="{B31DFA44-6D76-4043-A2DA-831727713083}"/>
  </bookViews>
  <sheets>
    <sheet name="Read Me" sheetId="51" r:id="rId1"/>
    <sheet name="Initiative Details" sheetId="1" r:id="rId2"/>
    <sheet name="Stakeholder Profile" sheetId="8" r:id="rId3"/>
    <sheet name="Activities" sheetId="6" r:id="rId4"/>
    <sheet name="One-for-one" sheetId="9" r:id="rId5"/>
    <sheet name="Small Business Lens" sheetId="19" r:id="rId6"/>
    <sheet name="Annual Stakeholder Count" sheetId="37" r:id="rId7"/>
    <sheet name="Impacts" sheetId="50" r:id="rId8"/>
    <sheet name="Impacts by Activity" sheetId="35" r:id="rId9"/>
    <sheet name="Impacts by Stakeholder" sheetId="38" r:id="rId10"/>
    <sheet name="Impacts by Activity+Stakeholder" sheetId="46" r:id="rId11"/>
    <sheet name="Cost-benefit Statement" sheetId="49" r:id="rId12"/>
    <sheet name="Labour" sheetId="18" r:id="rId13"/>
    <sheet name="CPI" sheetId="4" r:id="rId14"/>
    <sheet name="Full Output" sheetId="22" r:id="rId15"/>
    <sheet name="Controls" sheetId="10" r:id="rId16"/>
  </sheets>
  <definedNames>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CorrelationEnabledState" hidden="1">1</definedName>
    <definedName name="_AtRisk_SimSetting_GoalSeekTargetValue" hidden="1">0</definedName>
    <definedName name="_AtRisk_SimSetting_LiveUpdate" hidden="1">TRUE</definedName>
    <definedName name="_AtRisk_SimSetting_MacroMode" hidden="1">0</definedName>
    <definedName name="_AtRisk_SimSetting_MacroRecalculationBehavior" hidden="1">0</definedName>
    <definedName name="_AtRisk_SimSetting_MaxAutoIterations" hidden="1">50000</definedName>
    <definedName name="_AtRisk_SimSetting_MultipleCPUCount" hidden="1">-1</definedName>
    <definedName name="_AtRisk_SimSetting_MultipleCPUMode" hidden="1">2</definedName>
    <definedName name="_AtRisk_SimSetting_MultipleCPUModeV8" hidden="1">2</definedName>
    <definedName name="_AtRisk_SimSetting_RandomNumberGenerator" hidden="1">0</definedName>
    <definedName name="_AtRisk_SimSetting_ShowSimulationProgressWindow" hidden="1">TRUE</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1</definedName>
    <definedName name="_AtRisk_SimSetting_StdRecalcWithoutRiskStaticPercentile" hidden="1">0.5</definedName>
    <definedName name="_xlnm._FilterDatabase" localSheetId="3" hidden="1">Activities!#REF!</definedName>
    <definedName name="_xlnm._FilterDatabase" localSheetId="14" hidden="1">'Full Output'!$B$1:$X$11</definedName>
    <definedName name="_xlnm._FilterDatabase" localSheetId="2" hidden="1">'Stakeholder Profile'!#REF!</definedName>
    <definedName name="ActivityLanding">tbl_Activities[[#Headers],[Activity]]</definedName>
    <definedName name="ActivityNumber">_xlfn.SEQUENCE(ROWS(tbl_Activities[Activity]))</definedName>
    <definedName name="ActivityType">_xlfn.LET(  _xlpm.Start, IF(tbl_Activities[Start Year]="Start of Analytical Period", YearOfRegistration, IF(tbl_Activities[Start Year]="End of Analytical Period", YearOfRegistration+Time-1, tbl_Activities[Start Year])),  _xlpm.End, IF(tbl_Activities[End Year]="Start of Analytical Period", YearOfRegistration, IF(tbl_Activities[End Year]="End of Analytical Period", YearOfRegistration+Time-1, tbl_Activities[End Year])),  _xlpm.Ongoing, tbl_Activities[Upfront or  Ongoing]="Ongoing", _xlpm.Upfront, tbl_Activities[Upfront or  Ongoing]="Upfront", _xlpm.Existing, tbl_Activities[Apply to Existing Stakeholders]="Yes", _xlpm.New, tbl_Activities[Apply to New Entrants]="Yes",  IF(_xlpm.Start&gt;_xlpm.End, 0, IF(--_xlpm.Ongoing+--_xlpm.Existing+--_xlpm.New=3, 1, IF(--_xlpm.Ongoing+--_xlpm.Existing=2, 2, IF(--_xlpm.Ongoing+--_xlpm.New=2, 3, IF(--_xlpm.Upfront+--_xlpm.Existing+--_xlpm.New=3, 4, IF(--_xlpm.Upfront+--_xlpm.Existing=2, 5, IF(--_xlpm.Upfront+--_xlpm.New=2, 6, 0))))))))</definedName>
    <definedName name="AF">Controls!$O$4</definedName>
    <definedName name="AF_7_10">Controls!$O$3</definedName>
    <definedName name="AffectedGroup">MATCH(INDEX(tbl_Activities[Affected Stakeholder Group],_xlfn.ANCHORARRAY( 'Full Output'!$A$2)), tbl_Stakeholders[Stakeholder Group], 0)</definedName>
    <definedName name="AnnualStakeholderCounts">'Annual Stakeholder Count'!$B$8</definedName>
    <definedName name="CheckAdminCapital">IF(--(tbl_Activities[[#This Row],[Administrative or Compliance]]="Administrative")+--(tbl_Activities[[#This Row],[Capital or Labour]]="Capital")=2, 1, 0)</definedName>
    <definedName name="CheckAppliesToNoone">IF(OR(--(tbl_Activities[[#This Row],[Apply to Existing Stakeholders]]="Yes")+--(tbl_Activities[[#This Row],[Apply to New Entrants]]="Yes")=0, tbl_Activities[[#This Row],[Percent Affected]]=0), 1, 0)</definedName>
    <definedName name="Checkblank">(tbl_Activities[Activity]&lt;&gt;"")*(tbl_Activities[Administrative or Compliance]&lt;&gt;"")*(tbl_Activities[In or Out]&lt;&gt;"")*(tbl_Activities[Upfront or  Ongoing]&lt;&gt;"")*(tbl_Activities[Start Year]&lt;&gt;"")*(tbl_Activities[End Year]&lt;&gt;"")*(tbl_Activities[Affected Stakeholder Group]&lt;&gt;"")*(tbl_Activities[Affected Stakeholder Type]&lt;&gt;"")*(tbl_Activities[Percent Affected]&lt;&gt;"")*(tbl_Activities[Apply to Existing Stakeholders]&lt;&gt;"")*(tbl_Activities[Apply to New Entrants]&lt;&gt;"")*(tbl_Activities[Annual Frequency]&lt;&gt;"")*IF(IF(tbl_Activities[Capital or Labour]="Capital", (tbl_Activities[Capital: Number of Units]&lt;&gt;"")*(tbl_Activities[Capital: Unit Price]&lt;&gt;"")*(tbl_Activities[Capital: Price Year of Unit Price]&lt;&gt;""), (tbl_Activities[Labour: Time Spent (hours)]&lt;&gt;"")*(tbl_Activities[Labour: Staff Level (Wage Without Overhead)]&lt;&gt;"")=1), 1, 0)</definedName>
    <definedName name="Checkblank_wages">(tbl_Wages[National Occupational Classification (NOC)]&lt;&gt;"")*(tbl_Wages[Price year of data source]&lt;&gt;"")*(tbl_Wages[Wage in price year of data source (without overhead)]&lt;&gt;"")</definedName>
    <definedName name="Checkblank1">IF((tbl_Activities[[#This Row],[Activity]]&lt;&gt;"")*(tbl_Activities[[#This Row],[Administrative or Compliance]]&lt;&gt;"")*(tbl_Activities[[#This Row],[In or Out]]&lt;&gt;"")*(tbl_Activities[[#This Row],[Upfront or  Ongoing]]&lt;&gt;"")*(tbl_Activities[[#This Row],[Start Year]]&lt;&gt;"")*(tbl_Activities[[#This Row],[End Year]]&lt;&gt;"")*(tbl_Activities[[#This Row],[Affected Stakeholder Group]]&lt;&gt;"")*(tbl_Activities[[#This Row],[Affected Stakeholder Type]]&lt;&gt;"")*(tbl_Activities[[#This Row],[Percent Affected]]&lt;&gt;"")*(tbl_Activities[[#This Row],[Apply to Existing Stakeholders]]&lt;&gt;"")*(tbl_Activities[[#This Row],[Apply to New Entrants]]&lt;&gt;"")*(tbl_Activities[[#This Row],[Annual Frequency]]&lt;&gt;"")*IF(tbl_Activities[[#This Row],[Capital or Labour]]="Capital", (tbl_Activities[[#This Row],[Capital: Number of Units]]&lt;&gt;"")*(tbl_Activities[[#This Row],[Capital: Unit Price]]&lt;&gt;"")*(tbl_Activities[[#This Row],[Capital: Price Year of Unit Price]]&lt;&gt;""), (tbl_Activities[[#This Row],[Labour: Time Spent (hours)]]&lt;&gt;"")*(tbl_Activities[[#This Row],[Labour: Staff Level (Wage Without Overhead)]]&lt;&gt;""))=1, 0, 1)</definedName>
    <definedName name="CheckHighFreq">IF(tbl_Activities[[#This Row],[Annual Frequency]]&gt;365, 1, 0)</definedName>
    <definedName name="CheckMedLarge">IFERROR(--(--(tbl_Activities[[#This Row],[Affected Stakeholder Type]]="Med/Large Businesses")+--(IFERROR((INDEX(tbl_Stakeholders[Med/Large Business Count], MATCH(tbl_Activities[[#This Row],[Affected Stakeholder Group]], tbl_Stakeholders[Stakeholder Group], 0))=0), 0))+--(IF(tbl_Activities[[#This Row],[Affected Stakeholder Group]]="All Groups", SUM(tbl_Stakeholders[Med/Large Business Count])=0))=2), "")</definedName>
    <definedName name="CheckNoImpact">IF(SUMIFS(_xlfn.ANCHORARRAY('Full Output'!$W$2),_xlfn.ANCHORARRAY('Full Output'!$A$2),ROW(Activities!$B1)-ROW(Activities!$B$14))=0,1,0)</definedName>
    <definedName name="CheckNonBusiness">IFERROR(--(--(tbl_Activities[[#This Row],[Affected Stakeholder Type]]="All Non-businesses")+--(IFERROR((INDEX(tbl_Stakeholders[Non-business Count], MATCH(tbl_Activities[[#This Row],[Affected Stakeholder Group]], tbl_Stakeholders[Stakeholder Group], 0))=0), 0))+--(IF(tbl_Activities[[#This Row],[Affected Stakeholder Group]]="All Groups", SUM(tbl_Stakeholders[Non-business Count])=0))=2), "")</definedName>
    <definedName name="CheckSmall">IFERROR(--(--(tbl_Activities[[#This Row],[Affected Stakeholder Type]]="Small Businesses")+--(IFERROR((INDEX(tbl_Stakeholders[Small Business Count], MATCH(tbl_Activities[[#This Row],[Affected Stakeholder Group]], tbl_Stakeholders[Stakeholder Group], 0))=0), 0))+--(IF(tbl_Activities[[#This Row],[Affected Stakeholder Group]]="All Groups", SUM(tbl_Stakeholders[Small Business Count])=0))=2), "")</definedName>
    <definedName name="CheckStakeholders">IF(--(tbl_Activities[[#This Row],[Affected Stakeholder Group]]="")+--(tbl_Activities[[#This Row],[Affected Stakeholder Group]]="All Groups")= 1, 1,  COUNTIF(tbl_Stakeholders[Stakeholder Group], tbl_Activities[[#This Row],[Affected Stakeholder Group]]))</definedName>
    <definedName name="CheckStartEnd">_xlfn.LET( _xlpm.Start, IF(tbl_Activities[[#This Row],[Start Year]]="Start of Analytical Period", YearOfRegistration, IF(tbl_Activities[[#This Row],[Start Year]]="End of Analytical Period", YearOfRegistration+Time-1, tbl_Activities[[#This Row],[Start Year]])), _xlpm.End, IF(tbl_Activities[[#This Row],[End Year]]="Start of Analytical Period", YearOfRegistration, IF(tbl_Activities[[#This Row],[End Year]]="End of Analytical Period", YearOfRegistration+Time-1, tbl_Activities[[#This Row],[End Year]])), IF(_xlpm.Start&gt;_xlpm.End, 1, 0))</definedName>
    <definedName name="CheckUpfrontFreq">IF(--(tbl_Activities[[#This Row],[Upfront or  Ongoing]]="Upfront")+--(tbl_Activities[[#This Row],[Annual Frequency]]&lt;&gt;1)=2, 1, 0)</definedName>
    <definedName name="CheckWages">IFERROR(IF(_xlfn.TEXTBEFORE(_xlfn.TEXTAFTER(tbl_Activities[[#This Row],[Labour: Staff Level (Wage Without Overhead)]], "($"), ")")=INDEX(_xlfn.TEXTBEFORE(_xlfn.TEXTAFTER(_xlfn.ANCHORARRAY(Controls!$I$2), "($"), ")"), MATCH(_xlfn.TEXTBEFORE(tbl_Activities[[#This Row],[Labour: Staff Level (Wage Without Overhead)]], " ($"), _xlfn.TEXTBEFORE(_xlfn.ANCHORARRAY(Controls!$I$2), " ($"), 0)), 0, 1), "")</definedName>
    <definedName name="CostBenefitStatementLanding">'Cost-benefit Statement'!$B$2</definedName>
    <definedName name="Custom_Labour">Labour!$A$66</definedName>
    <definedName name="Discount">'Initiative Details'!$D$15</definedName>
    <definedName name="ErrorCheck">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&amp;IF(CheckNoImpact=1, "This activity does not result in any incremental impact. ", "")</definedName>
    <definedName name="ExternalData_1" localSheetId="13" hidden="1">CPI!$C$14:$D$37</definedName>
    <definedName name="ExternalData_2" localSheetId="0" hidden="1">'Read Me'!$C$23:$C$24</definedName>
    <definedName name="FO_Act">_xlfn.ANCHORARRAY('Full Output'!$B$2)</definedName>
    <definedName name="FO_ImpactD">_xlfn.ANCHORARRAY('Full Output'!$W$2)</definedName>
    <definedName name="FO_ImpactU">_xlfn.ANCHORARRAY('Full Output'!$R$2)</definedName>
    <definedName name="FO_InOut">_xlfn.ANCHORARRAY('Full Output'!$D$2)</definedName>
    <definedName name="FO_Yrs">_xlfn.ANCHORARRAY('Full Output'!$E$2)</definedName>
    <definedName name="FormulasLanding">Controls!$CE$1</definedName>
    <definedName name="FullOutputLanding">'Full Output'!$A$1</definedName>
    <definedName name="Groups">_xlfn.UNIQUE(_xlfn._xlws.FILTER(tbl_Stakeholders[Stakeholder Group], tbl_Stakeholders[Stakeholder Group]&lt;&gt;""))</definedName>
    <definedName name="ImpactByActivityAndStakeholderLanding">'Impacts by Activity+Stakeholder'!$B$2</definedName>
    <definedName name="ImpactsByActivityLanding">'Impacts by Activity'!$B$21</definedName>
    <definedName name="ImpactsByStakeholderLanding">'Impacts by Stakeholder'!$B$2</definedName>
    <definedName name="ImpactsLanding">Impacts!$B$2</definedName>
    <definedName name="IN_AS">_xlfn.LET( _xlpm.Stakeholders, _xlfn.UNIQUE(_xlfn._xlws.FILTER(tbl_Stakeholders[Stakeholder Group], tbl_Stakeholders[Stakeholder Group]&lt;&gt;"")), _xlpm.Activities, _xlfn.UNIQUE(_xlfn._xlws.FILTER(tbl_Activities[Activity], (tbl_Activities[Affected Stakeholder Group]="All Groups")*(tbl_Activities[In or Out]="In")*Checkblank)), _xlpm.nAllGroups, COUNTIFS(tbl_Activities[Affected Stakeholder Group], "All Groups", tbl_Activities[In or Out], "In"), _xlpm.nOneGroup, COUNTIFS(tbl_Activities[Affected Stakeholder Group], "&lt;&gt;All Groups", tbl_Activities[In or Out], "In"), _xlpm.x, _xlfn.MAKEARRAY(ROWS(_xlpm.Stakeholders)*ROWS(_xlpm.Activities), 2, _xlfn.LAMBDA(_xlpm.r,_xlpm.c, _xlfn.LET(      _xlpm.w, ROUNDUP(_xlpm.r/ROWS(_xlpm.Stakeholders), 0),      _xlpm.p, _xlpm.w-1,      IF(_xlpm.c=2, INDEX(_xlpm.Activities, _xlpm.w), INDEX(_xlpm.Stakeholders, _xlpm.r-ROWS(_xlpm.Stakeholders)*_xlpm.p))))), _xlpm.y, _xlfn.UNIQUE(_xlfn._xlws.FILTER(_xlfn.CHOOSECOLS(tbl_Activities[], 7, 1), (tbl_Activities[Affected Stakeholder Group]&lt;&gt;"All Groups")*(tbl_Activities[In or Out]="In")*Checkblank)), _xlpm.z, _xlfn._xlws.SORT(IF(_xlpm.nAllGroups=0, _xlpm.y, IF(_xlpm.nOneGroup=0, _xlpm.x, _xlfn.VSTACK(_xlpm.x, _xlpm.y))), 2), _xlfn.UNIQUE(_xlpm.z))</definedName>
    <definedName name="InitiativeDetailsLanding">'Initiative Details'!$C$5</definedName>
    <definedName name="Introduced_Formula">_xlfn.XLOOKUP('Initiative Details'!$D$6,Controls!$P$22:$P$26,Controls!$R$22:$R$26,"",0,1)</definedName>
    <definedName name="List_Amendment_Repeal">Controls!$Q$22</definedName>
    <definedName name="List_New_Regulation_Repeal">Controls!$Q$23</definedName>
    <definedName name="List_Repeal_and_Replace_Repeal">Controls!$Q$25</definedName>
    <definedName name="List_Repeal_Only">Controls!$Q$24</definedName>
    <definedName name="NET_AS">IF(NoOut, IN_AS, IF(NoIn, OUT_AS, _xlfn.UNIQUE(_xlfn.VSTACK(IN_AS, OUT_AS))))</definedName>
    <definedName name="NGroups">ROWS(Groups)</definedName>
    <definedName name="NoErrors">COUNTBLANK(tbl_Activities[Error Check])=ROWS(tbl_Activities[Error Check])</definedName>
    <definedName name="NoIn">SUM(--(_xlfn._xlws.FILTER(tbl_Activities[In or Out]="In", Checkblank)))=0</definedName>
    <definedName name="NoOut">SUM(--(_xlfn._xlws.FILTER(tbl_Activities[In or Out]="Out", Checkblank)))=0</definedName>
    <definedName name="NoSBImpacts">COUNTIF(_xlfn.ANCHORARRAY('Full Output'!$O$2), "&lt;&gt;0")=0</definedName>
    <definedName name="OneError">COUNTBLANK(tbl_Activities[Error Check])=ROWS(tbl_Activities[Error Check])-1</definedName>
    <definedName name="OneforOne_CPI_Conversion">INDEX(tbl_CPI[Index], MATCH(2012, tbl_CPI[Year], 0))/INDEX(tbl_CPI[Index], MATCH(PriceYear, tbl_CPI[Year], 0))</definedName>
    <definedName name="OneForOneLanding">'One-for-one'!$C$17</definedName>
    <definedName name="OneforOneText">Controls!$R$2</definedName>
    <definedName name="OneType">NoIn+NoOut=1</definedName>
    <definedName name="OUT_AS">_xlfn.LET( _xlpm.Stakeholders, _xlfn.UNIQUE(_xlfn._xlws.FILTER(tbl_Stakeholders[Stakeholder Group], tbl_Stakeholders[Stakeholder Group]&lt;&gt;"")), _xlpm.Activities, _xlfn.UNIQUE(_xlfn._xlws.FILTER(tbl_Activities[Activity], (tbl_Activities[Affected Stakeholder Group]="All Groups")*(tbl_Activities[In or Out]="Out")*Checkblank)), _xlpm.nAllGroups, COUNTIFS(tbl_Activities[Affected Stakeholder Group], "All Groups", tbl_Activities[In or Out], "Out"), _xlpm.nOneGroup, COUNTIFS(tbl_Activities[Affected Stakeholder Group], "&lt;&gt;All Groups", tbl_Activities[In or Out], "Out"), _xlpm.x, _xlfn.MAKEARRAY(ROWS(_xlpm.Stakeholders)*ROWS(_xlpm.Activities), 2, _xlfn.LAMBDA(_xlpm.r,_xlpm.c, _xlfn.LET(      _xlpm.w, ROUNDUP(_xlpm.r/ROWS(_xlpm.Stakeholders), 0),      _xlpm.p, _xlpm.w-1,      IF(_xlpm.c=2, INDEX(_xlpm.Activities, _xlpm.w), INDEX(_xlpm.Stakeholders, _xlpm.r-ROWS(_xlpm.Stakeholders)*_xlpm.p))))), _xlpm.y, _xlfn.UNIQUE(_xlfn._xlws.FILTER(_xlfn.CHOOSECOLS(tbl_Activities[], 7, 1), (tbl_Activities[Affected Stakeholder Group]&lt;&gt;"All Groups")*(tbl_Activities[In or Out]="Out")*Checkblank)), _xlpm.z, _xlfn._xlws.SORT(IF(_xlpm.nAllGroups=0, _xlpm.y, IF(_xlpm.nOneGroup=0, _xlpm.x, _xlfn.VSTACK(_xlpm.x, _xlpm.y))), 2), _xlfn.UNIQUE(_xlpm.z))</definedName>
    <definedName name="OutputRows">ROWS(_xlfn.ANCHORARRAY('Full Output'!$A$2))</definedName>
    <definedName name="Periods">_xlfn.LET( _xlpm.Start, "Start of Analytical Period", _xlpm.End, "End of Analytical Period", _xlpm.Years, IF(tbl_Activities[Start Year]=tbl_Activities[End Year], 1, IF(--(tbl_Activities[Start Year]=_xlpm.Start)+--(tbl_Activities[End Year]=_xlpm.End)=2, Time, IF(tbl_Activities[Start Year]=_xlpm.Start, tbl_Activities[End Year]-YearOfRegistration+1, IF(--(tbl_Activities[Start Year]=_xlpm.End)+--(tbl_Activities[End Year]=YearOfRegistration+Time-1)=2, 1, IF(tbl_Activities[End Year]=_xlpm.End, YearOfRegistration+Time-tbl_Activities[Start Year], IF(--(tbl_Activities[Start Year]=_xlpm.End)+--(tbl_Activities[End Year]=_xlpm.Start)=2, 0, IF(tbl_Activities[Start Year]&gt;tbl_Activities[End Year], 0, IF(--(tbl_Activities[End Year]=_xlpm.Start)+--(tbl_Activities[Start Year]=YearOfRegistration)=2, 1, tbl_Activities[End Year]-tbl_Activities[Start Year]+1)))))))),  ROUNDDOWN(IF(tbl_Activities[Upfront or  Ongoing]="Upfront", _xlpm.Years+1, IF(tbl_Activities[Upfront or  Ongoing]="Ongoing", IF(tbl_Activities[Annual Frequency]&lt;1, 1, tbl_Activities[Annual Frequency])*_xlpm.Years)), 0))</definedName>
    <definedName name="PriceYear">'Initiative Details'!$D$11</definedName>
    <definedName name="PVBaseYear">'Initiative Details'!$D$13</definedName>
    <definedName name="Repealed_Formula">_xlfn.XLOOKUP('Initiative Details'!$D$6,Controls!$P$22:$P$26,Controls!$Q$22:$Q18,"",0,1)</definedName>
    <definedName name="repeat">_xlfn.LAMBDA(_xlpm.repeat,_xlpm.thing, IFERROR(_xlfn.XLOOKUP(_xlfn.SEQUENCE(SUM(_xlfn._xlws.FILTER(_xlpm.repeat, Checkblank*_xlpm.repeat&gt;0))), _xlfn.VSTACK(1, _xlfn.SCAN(1, _xlfn._xlws.FILTER(_xlpm.repeat, Checkblank*_xlpm.repeat&gt;0), _xlfn.LAMBDA(_xlpm.a,_xlpm.b, _xlpm.a+_xlpm.b))), _xlfn.VSTACK(_xlfn._xlws.FILTER(_xlpm.thing, Checkblank*_xlpm.repeat&gt;0), ""), , -1), ""))</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43</definedName>
    <definedName name="RiskHasSettings" hidden="1">8</definedName>
    <definedName name="RiskMinimizeOnStart" hidden="1">FALSE</definedName>
    <definedName name="RiskMonitorConvergence" hidden="1">FALSE</definedName>
    <definedName name="RiskMultipleCPUSupportEnabled" hidden="1">FALSE</definedName>
    <definedName name="RiskNumIterations" hidden="1">1000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0</definedName>
    <definedName name="RiskUpdateDisplay" hidden="1">FALSE</definedName>
    <definedName name="RiskUseDifferentSeedForEachSim" hidden="1">FALSE</definedName>
    <definedName name="RiskUseFixedSeed" hidden="1">TRUE</definedName>
    <definedName name="RiskUseMultipleCPUs" hidden="1">FALSE</definedName>
    <definedName name="SBLLanding">'Small Business Lens'!$B$20</definedName>
    <definedName name="StakeholderCols">COUNTIF(tbl_Stakeholders[Stakeholder Group],"&lt;&gt;")</definedName>
    <definedName name="StakeholderProfileLanding">'Stakeholder Profile'!$B$16</definedName>
    <definedName name="StakesIN">_xlfn.UNIQUE(_xlfn._xlws.FILTER(tbl_Activities[Affected Stakeholder Group], (tbl_Activities[In or Out]="In")*Checkblank))</definedName>
    <definedName name="StakesOUT">_xlfn.UNIQUE(_xlfn._xlws.FILTER(tbl_Activities[Affected Stakeholder Group], (tbl_Activities[In or Out]="Out")*Checkblank))</definedName>
    <definedName name="Tbl_NOc">Controls!$I$1:$I$57</definedName>
    <definedName name="tbl_Stakeholders_noblank">_xlfn._xlws.FILTER(tbl_Stakeholders[], tbl_Stakeholders[Stakeholder Group]&lt;&gt;"")</definedName>
    <definedName name="TenCount">Controls!$P$33:$P$43</definedName>
    <definedName name="Time">'Initiative Details'!$D$14</definedName>
    <definedName name="versiondate">'Read Me'!$D$18</definedName>
    <definedName name="WageLookup">IFERROR(INDEX(tbl_Wages[Wage in price year of analysis (without overhead)], MATCH(tbl_Activities[[#This Row],[Labour: Staff Level (Wage Without Overhead)]], tbl_Wages[National Occupational Classification (NOC)], 0))*(1+_xlfn.IFS(tbl_Activities[[#This Row],[Labour: Internal or External Overhead]]="Internal", 0.25, tbl_Activities[[#This Row],[Labour: Internal or External Overhead]]="External", 0.5, TRUE, 0)), "")</definedName>
    <definedName name="YearOfRegistration">'Initiative Details'!$D$12</definedName>
    <definedName name="Years_since_2012">PVBaseYear-2012</definedName>
    <definedName name="Yrs">_xlfn.SEQUENCE(Time, , YearOfRegistration)</definedName>
    <definedName name="YrsHdr_D">_xlfn.HSTACK(_xlfn.SEQUENCE(, Time, YearOfRegistration), "Total", "Annualized")</definedName>
    <definedName name="YrsHdr_U">_xlfn.HSTACK(_xlfn.SEQUENCE(, Time, YearOfRegistration), "Total")</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 i="22" l="1" a="1"/>
  <c r="A2" i="22" s="1"/>
  <c r="C6" i="19"/>
  <c r="AH1" i="22" l="1"/>
  <c r="AI1" i="22" a="1"/>
  <c r="AI1" i="22" s="1"/>
  <c r="L2" i="10" l="1" a="1"/>
  <c r="L2" i="10" s="1"/>
  <c r="AF2" i="22" l="1" a="1"/>
  <c r="AF2" i="22" s="1"/>
  <c r="H2" i="22" a="1"/>
  <c r="H2" i="22" s="1"/>
  <c r="F2" i="22" a="1"/>
  <c r="F2" i="22" s="1"/>
  <c r="I2" i="22" a="1"/>
  <c r="I2" i="22" s="1"/>
  <c r="AA2" i="22" a="1"/>
  <c r="AA2" i="22" s="1"/>
  <c r="AB2" i="22" a="1"/>
  <c r="AB2" i="22" s="1"/>
  <c r="C2" i="22" a="1"/>
  <c r="C2" i="22" s="1"/>
  <c r="B2" i="22" a="1"/>
  <c r="B2" i="22" s="1"/>
  <c r="Z2" i="22" a="1"/>
  <c r="Z2" i="22" s="1"/>
  <c r="G2" i="22" l="1" a="1"/>
  <c r="G2" i="22" s="1"/>
  <c r="J2" i="22" s="1" a="1"/>
  <c r="J2" i="22" s="1"/>
  <c r="D2" i="22" a="1"/>
  <c r="D2" i="22" s="1"/>
  <c r="E2" i="22" l="1" a="1"/>
  <c r="E2" i="22" s="1"/>
  <c r="AE2" i="22" a="1"/>
  <c r="AE2" i="22" s="1"/>
  <c r="AC2" i="22" a="1"/>
  <c r="AC2" i="22" s="1"/>
  <c r="D23" i="51" l="1" a="1"/>
  <c r="D23" i="51" s="1"/>
  <c r="C8" i="50" l="1"/>
  <c r="C7" i="50"/>
  <c r="C6" i="50"/>
  <c r="C6" i="49" l="1"/>
  <c r="K2" i="10" a="1"/>
  <c r="K2" i="10" s="1"/>
  <c r="C8" i="49"/>
  <c r="C9" i="49"/>
  <c r="C7" i="49"/>
  <c r="M2" i="10" l="1" a="1"/>
  <c r="M2" i="10" s="1"/>
  <c r="C8" i="46"/>
  <c r="C7" i="46"/>
  <c r="C6" i="46"/>
  <c r="V5" i="10" l="1" a="1"/>
  <c r="V5" i="10" s="1"/>
  <c r="D2" i="10" a="1"/>
  <c r="D2" i="10" s="1"/>
  <c r="C15" i="18"/>
  <c r="C29" i="18"/>
  <c r="C30" i="18"/>
  <c r="C31" i="18"/>
  <c r="C32" i="18"/>
  <c r="C33" i="18"/>
  <c r="C34" i="18"/>
  <c r="C35" i="18"/>
  <c r="C36" i="18"/>
  <c r="C37" i="18"/>
  <c r="C38" i="18"/>
  <c r="C39" i="18"/>
  <c r="C40" i="18"/>
  <c r="C41" i="18"/>
  <c r="C42" i="18"/>
  <c r="C43" i="18"/>
  <c r="C44" i="18"/>
  <c r="C45" i="18"/>
  <c r="C46" i="18"/>
  <c r="C47" i="18"/>
  <c r="C48" i="18"/>
  <c r="C49" i="18"/>
  <c r="C50" i="18"/>
  <c r="C51" i="18"/>
  <c r="C52" i="18"/>
  <c r="C53" i="18"/>
  <c r="C54" i="18"/>
  <c r="C55" i="18"/>
  <c r="C56" i="18"/>
  <c r="C57" i="18"/>
  <c r="C58" i="18"/>
  <c r="C59" i="18"/>
  <c r="C60" i="18"/>
  <c r="C61" i="18"/>
  <c r="C62" i="18"/>
  <c r="C63" i="18"/>
  <c r="C64" i="18"/>
  <c r="C65" i="18"/>
  <c r="C66" i="18"/>
  <c r="C16" i="18"/>
  <c r="C17" i="18"/>
  <c r="C18" i="18"/>
  <c r="C19" i="18"/>
  <c r="C20" i="18"/>
  <c r="C21" i="18"/>
  <c r="C22" i="18"/>
  <c r="C23" i="18"/>
  <c r="C24" i="18"/>
  <c r="C25" i="18"/>
  <c r="C26" i="18"/>
  <c r="C27" i="18"/>
  <c r="C28" i="18"/>
  <c r="C6" i="9" l="1"/>
  <c r="A14" i="6" a="1"/>
  <c r="A14" i="6" s="1"/>
  <c r="A16" i="8" a="1"/>
  <c r="A16" i="8" s="1"/>
  <c r="B2" i="10" a="1"/>
  <c r="B2" i="10" s="1"/>
  <c r="G2" i="10" a="1"/>
  <c r="G2" i="10" s="1"/>
  <c r="J1" i="10" l="1"/>
  <c r="G15" i="18" l="1"/>
  <c r="G16" i="18"/>
  <c r="G17" i="18"/>
  <c r="G18" i="18"/>
  <c r="G19" i="18"/>
  <c r="G20" i="18"/>
  <c r="G21" i="18"/>
  <c r="G22" i="18"/>
  <c r="G23" i="18"/>
  <c r="G24" i="18"/>
  <c r="G25" i="18"/>
  <c r="G26" i="18"/>
  <c r="G27" i="18"/>
  <c r="G28" i="18"/>
  <c r="G29" i="18"/>
  <c r="G30" i="18"/>
  <c r="G31" i="18"/>
  <c r="G32" i="18"/>
  <c r="G33" i="18"/>
  <c r="G34" i="18"/>
  <c r="G35" i="18"/>
  <c r="G36" i="18"/>
  <c r="G37" i="18"/>
  <c r="G38" i="18"/>
  <c r="G39" i="18"/>
  <c r="G40" i="18"/>
  <c r="G41" i="18"/>
  <c r="G42" i="18"/>
  <c r="G43" i="18"/>
  <c r="G44" i="18"/>
  <c r="G45" i="18"/>
  <c r="G46" i="18"/>
  <c r="G47" i="18"/>
  <c r="G48" i="18"/>
  <c r="G49" i="18"/>
  <c r="G50" i="18"/>
  <c r="G51" i="18"/>
  <c r="G52" i="18"/>
  <c r="G53" i="18"/>
  <c r="G54" i="18"/>
  <c r="G55" i="18"/>
  <c r="G56" i="18"/>
  <c r="G57" i="18"/>
  <c r="G58" i="18"/>
  <c r="G59" i="18"/>
  <c r="G60" i="18"/>
  <c r="G61" i="18"/>
  <c r="G62" i="18"/>
  <c r="G63" i="18"/>
  <c r="G64" i="18"/>
  <c r="G65" i="18"/>
  <c r="G66" i="18"/>
  <c r="I2" i="10" l="1" a="1"/>
  <c r="I2" i="10" s="1"/>
  <c r="J2" i="10" a="1"/>
  <c r="J2" i="10" s="1"/>
  <c r="DD1" i="10"/>
  <c r="CH1" i="10"/>
  <c r="M2" i="22" l="1" a="1"/>
  <c r="M2" i="22" s="1"/>
  <c r="N2" i="22" s="1" a="1"/>
  <c r="N2" i="22" s="1"/>
  <c r="F2" i="10" a="1"/>
  <c r="F2" i="10" s="1"/>
  <c r="U26" i="10"/>
  <c r="U25" i="10"/>
  <c r="U24" i="10"/>
  <c r="U23" i="10"/>
  <c r="U22" i="10"/>
  <c r="Y5" i="10" l="1" a="1"/>
  <c r="Y5" i="10" s="1"/>
  <c r="U21" i="10"/>
  <c r="AD5" i="10" l="1" a="1"/>
  <c r="AD5" i="10" s="1"/>
  <c r="X5" i="10" a="1"/>
  <c r="X5" i="10" s="1"/>
  <c r="Z5" i="10" a="1"/>
  <c r="Z5" i="10" s="1"/>
  <c r="AB5" i="10" a="1"/>
  <c r="AB5" i="10" s="1"/>
  <c r="W5" i="10" a="1"/>
  <c r="W5" i="10" s="1"/>
  <c r="AM5" i="10" s="1" a="1"/>
  <c r="AM5" i="10" s="1"/>
  <c r="AC5" i="10" l="1" a="1"/>
  <c r="AC5" i="10" s="1"/>
  <c r="AA5" i="10" a="1"/>
  <c r="AA5" i="10" s="1"/>
  <c r="AG5" i="10" l="1" a="1"/>
  <c r="AG5" i="10" s="1"/>
  <c r="AH5" i="10" s="1" a="1"/>
  <c r="AH5" i="10" s="1"/>
  <c r="AE5" i="10" a="1"/>
  <c r="AE5" i="10" s="1"/>
  <c r="AD2" i="22" l="1" a="1"/>
  <c r="AD2" i="22" s="1"/>
  <c r="L2" i="22" l="1" a="1"/>
  <c r="L2" i="22" s="1"/>
  <c r="P2" i="22" s="1" a="1"/>
  <c r="P2" i="22" s="1"/>
  <c r="K2" i="22" a="1"/>
  <c r="K2" i="22" s="1"/>
  <c r="O2" i="22" s="1" a="1"/>
  <c r="O2" i="22" s="1"/>
  <c r="B20" i="19" s="1" a="1"/>
  <c r="B20" i="19" s="1"/>
  <c r="B17" i="19" l="1" a="1"/>
  <c r="B17" i="19" s="1"/>
  <c r="C8" i="38"/>
  <c r="C7" i="38"/>
  <c r="C6" i="38"/>
  <c r="E2" i="10" a="1"/>
  <c r="E2" i="10" s="1"/>
  <c r="C2" i="10" a="1"/>
  <c r="C2" i="10" s="1"/>
  <c r="E7" i="37" a="1"/>
  <c r="E7" i="37" s="1"/>
  <c r="D8" i="37" a="1"/>
  <c r="D8" i="37" s="1"/>
  <c r="C9" i="37" a="1"/>
  <c r="C9" i="37" s="1"/>
  <c r="B9" i="37" a="1"/>
  <c r="B9" i="37" s="1"/>
  <c r="C8" i="35"/>
  <c r="C7" i="35"/>
  <c r="C6" i="35"/>
  <c r="E9" i="37" l="1" a="1"/>
  <c r="E9" i="37" s="1"/>
  <c r="B15" i="4" a="1"/>
  <c r="B15" i="4" s="1"/>
  <c r="D9" i="37" l="1" a="1"/>
  <c r="D9" i="37" l="1"/>
  <c r="D10" i="1" a="1"/>
  <c r="D10" i="1" s="1"/>
  <c r="R14" i="10"/>
  <c r="S26" i="10" l="1"/>
  <c r="R10" i="10"/>
  <c r="R5" i="10" s="1"/>
  <c r="C7" i="9"/>
  <c r="B45" i="9" l="1"/>
  <c r="B44" i="9"/>
  <c r="B38" i="9"/>
  <c r="B37" i="9"/>
  <c r="B31" i="9"/>
  <c r="B30" i="9"/>
  <c r="C43" i="9" a="1"/>
  <c r="C43" i="9" s="1"/>
  <c r="C36" i="9" a="1"/>
  <c r="C36" i="9" s="1"/>
  <c r="C29" i="9" a="1"/>
  <c r="C29" i="9" s="1"/>
  <c r="M1" i="22" l="1"/>
  <c r="C10" i="19" l="1"/>
  <c r="C7" i="19" l="1"/>
  <c r="C9" i="19"/>
  <c r="C8" i="19"/>
  <c r="O4" i="10" l="1"/>
  <c r="O3" i="10" l="1"/>
  <c r="Q2" i="22" l="1" a="1"/>
  <c r="Q2" i="22" s="1"/>
  <c r="AJ5" i="10" l="1" a="1"/>
  <c r="AJ5" i="10" s="1"/>
  <c r="AF5" i="10" a="1"/>
  <c r="AF5" i="10" s="1"/>
  <c r="B14" i="18" a="1"/>
  <c r="B14" i="18" s="1"/>
  <c r="AS5" i="10" l="1" a="1"/>
  <c r="AS5" i="10" s="1"/>
  <c r="AY5" i="10" a="1"/>
  <c r="AY5" i="10" s="1"/>
  <c r="BH5" i="10" a="1"/>
  <c r="BH5" i="10" s="1"/>
  <c r="AV5" i="10" a="1"/>
  <c r="AV5" i="10" s="1"/>
  <c r="BC5" i="10" a="1"/>
  <c r="BC5" i="10" s="1"/>
  <c r="AZ5" i="10" a="1"/>
  <c r="AZ5" i="10" s="1"/>
  <c r="BD5" i="10" a="1"/>
  <c r="BD5" i="10" s="1"/>
  <c r="BB5" i="10" a="1"/>
  <c r="BB5" i="10" s="1"/>
  <c r="AT5" i="10" a="1"/>
  <c r="AT5" i="10" s="1"/>
  <c r="AX5" i="10" a="1"/>
  <c r="AX5" i="10" s="1"/>
  <c r="BA5" i="10" a="1"/>
  <c r="BA5" i="10" s="1"/>
  <c r="AU5" i="10" a="1"/>
  <c r="AU5" i="10" s="1"/>
  <c r="AW5" i="10" a="1"/>
  <c r="AW5" i="10" s="1"/>
  <c r="BG5" i="10" a="1"/>
  <c r="BG5" i="10" s="1"/>
  <c r="BF5" i="10" a="1"/>
  <c r="BF5" i="10" s="1"/>
  <c r="BE5" i="10" a="1"/>
  <c r="BE5" i="10" s="1"/>
  <c r="U2" i="22" l="1" a="1"/>
  <c r="U2" i="22" s="1"/>
  <c r="X2" i="22" l="1" a="1"/>
  <c r="X2" i="22" s="1"/>
  <c r="T2" i="22" a="1"/>
  <c r="T2" i="22" s="1"/>
  <c r="C38" i="9" l="1" a="1"/>
  <c r="C38" i="9" s="1"/>
  <c r="C31" i="9" a="1"/>
  <c r="C31" i="9" s="1"/>
  <c r="AI5" i="10" a="1"/>
  <c r="AI5" i="10" s="1"/>
  <c r="C30" i="9" a="1"/>
  <c r="C30" i="9" s="1"/>
  <c r="C37" i="9" a="1"/>
  <c r="C37" i="9" s="1"/>
  <c r="V2" i="22" a="1"/>
  <c r="V2" i="22" s="1"/>
  <c r="C44" i="9" l="1" a="1"/>
  <c r="C44" i="9" s="1"/>
  <c r="M44" i="9" s="1"/>
  <c r="M37" i="9"/>
  <c r="C39" i="9" a="1"/>
  <c r="C39" i="9" s="1"/>
  <c r="M30" i="9"/>
  <c r="C32" i="9" a="1"/>
  <c r="C32" i="9" s="1"/>
  <c r="M32" i="9" s="1"/>
  <c r="AO5" i="10" a="1"/>
  <c r="AO5" i="10" s="1"/>
  <c r="AQ5" i="10" a="1"/>
  <c r="AQ5" i="10" s="1"/>
  <c r="AP5" i="10" a="1"/>
  <c r="AP5" i="10" s="1"/>
  <c r="AN5" i="10" a="1"/>
  <c r="AN5" i="10" s="1"/>
  <c r="C33" i="9" a="1"/>
  <c r="C33" i="9" s="1"/>
  <c r="M33" i="9" s="1"/>
  <c r="N33" i="9" s="1"/>
  <c r="M31" i="9"/>
  <c r="N31" i="9" s="1"/>
  <c r="M38" i="9"/>
  <c r="N38" i="9" s="1"/>
  <c r="C40" i="9" a="1"/>
  <c r="C40" i="9" s="1"/>
  <c r="C45" i="9" a="1"/>
  <c r="C45" i="9" s="1"/>
  <c r="M45" i="9" s="1"/>
  <c r="N45" i="9" s="1"/>
  <c r="AR5" i="10" l="1" a="1"/>
  <c r="AR5" i="10" s="1"/>
  <c r="BI5" i="10" s="1" a="1"/>
  <c r="BI5" i="10" s="1"/>
  <c r="BL5" i="10" s="1" a="1"/>
  <c r="BL5" i="10" s="1"/>
  <c r="C47" i="9" a="1"/>
  <c r="C47" i="9" s="1"/>
  <c r="M47" i="9" s="1"/>
  <c r="M40" i="9"/>
  <c r="N40" i="9" s="1"/>
  <c r="C46" i="9" a="1"/>
  <c r="C46" i="9" s="1"/>
  <c r="M46" i="9" s="1"/>
  <c r="M39" i="9"/>
  <c r="BK5" i="10" a="1"/>
  <c r="BK5" i="10" s="1"/>
  <c r="BM5" i="10" l="1" a="1"/>
  <c r="C15" i="9"/>
  <c r="N47" i="9"/>
  <c r="C17" i="9" l="1"/>
  <c r="C16" i="9"/>
  <c r="BM5" i="10"/>
  <c r="BN4" i="10"/>
  <c r="R12" i="10" l="1"/>
  <c r="C18" i="9"/>
  <c r="R13" i="10"/>
  <c r="R4" i="10" l="1"/>
  <c r="R2" i="10" s="1"/>
  <c r="B24" i="9" s="1"/>
  <c r="S2" i="22" l="1" a="1"/>
  <c r="S2" i="22" s="1"/>
  <c r="W2" i="22" s="1" a="1"/>
  <c r="W2" i="22" s="1"/>
  <c r="R2" i="22" a="1"/>
  <c r="R2" i="22" s="1"/>
  <c r="AI2" i="22" s="1" a="1"/>
  <c r="AI2" i="22" s="1"/>
  <c r="U15" i="6" l="1" a="1"/>
  <c r="U15" i="6" s="1"/>
  <c r="B18" i="50" a="1"/>
  <c r="B18" i="50" s="1"/>
  <c r="B19" i="35" a="1"/>
  <c r="B19" i="35" s="1"/>
  <c r="B17" i="46" l="1" a="1"/>
  <c r="B17" i="46" s="1"/>
  <c r="B17" i="38" a="1"/>
  <c r="B17" i="38" s="1"/>
  <c r="B17" i="35" a="1"/>
  <c r="B17" i="35" s="1"/>
  <c r="B16" i="50" a="1"/>
  <c r="B16" i="50" s="1"/>
  <c r="B21" i="9" a="1"/>
  <c r="B21" i="9" s="1"/>
  <c r="B18" i="19" a="1"/>
  <c r="B18" i="19" s="1"/>
  <c r="B19" i="49" a="1"/>
  <c r="B19" i="49" s="1"/>
  <c r="B19" i="46" a="1"/>
  <c r="B19" i="46" s="1"/>
  <c r="B19" i="38" a="1"/>
  <c r="B19" i="38" s="1"/>
  <c r="B21" i="49" a="1"/>
  <c r="B21" i="49"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6A1F3BC7-7A5A-491E-8707-40AA44403CA8}" keepAlive="1" name="Query - Table 0" description="Connection to the 'Table 0' query in the workbook." type="5" refreshedVersion="8" background="1" saveData="1">
    <dbPr connection="Provider=Microsoft.Mashup.OleDb.1;Data Source=$Workbook$;Location=&quot;Table 0&quot;;Extended Properties=&quot;&quot;" command="SELECT * FROM [Table 0]"/>
  </connection>
  <connection id="2" xr16:uid="{756CE20D-8EE5-45B0-B4D7-C5D9A90BBE22}" keepAlive="1" name="Query - Table 0 (2)" description="Connection to the 'Table 0 (2)' query in the workbook." type="5" refreshedVersion="8" background="1" saveData="1">
    <dbPr connection="Provider=Microsoft.Mashup.OleDb.1;Data Source=$Workbook$;Location=&quot;Table 0 (2)&quot;;Extended Properties=&quot;&quot;" command="SELECT * FROM [Table 0 (2)]"/>
  </connection>
</connections>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<sst xmlns="http://schemas.openxmlformats.org/spreadsheetml/2006/main" count="490" uniqueCount="347">
  <si>
    <t>Year</t>
  </si>
  <si>
    <t>Total</t>
  </si>
  <si>
    <t>Frequency</t>
  </si>
  <si>
    <t>Activity Number</t>
  </si>
  <si>
    <t>Activity Description</t>
  </si>
  <si>
    <t>Administrative/ Compliance</t>
  </si>
  <si>
    <t>In/Out</t>
  </si>
  <si>
    <t>Period</t>
  </si>
  <si>
    <t>Affected Group</t>
  </si>
  <si>
    <t>Percent Affected</t>
  </si>
  <si>
    <t>Affected Non-businesses Stakeholder Count</t>
  </si>
  <si>
    <t>Affected Small Businesses Stakeholder Count</t>
  </si>
  <si>
    <t>Affected Med/Large Businesses Stakeholder Count</t>
  </si>
  <si>
    <t>Undiscounted Impacts to Non-Businesses</t>
  </si>
  <si>
    <t>Undiscounted Impacts to Small Businesses</t>
  </si>
  <si>
    <t>Undiscounted Impacts to Med/Large Businesses</t>
  </si>
  <si>
    <t>Undiscounted Impacts to All Businesses</t>
  </si>
  <si>
    <t>Undiscounted Impacts to All Stakeholders</t>
  </si>
  <si>
    <t>Discounted Impacts to Non-Businesses</t>
  </si>
  <si>
    <t>Discounted Impacts to Small Businesses</t>
  </si>
  <si>
    <t>Discounted Impacts to Med/Large Businesses</t>
  </si>
  <si>
    <t>Discounted Impacts to All Businesses</t>
  </si>
  <si>
    <t>Discounted Impacts to All Stakeholders</t>
  </si>
  <si>
    <t>Discounted Admin Impacts to All Affected Businesses (Fixed at 7%)</t>
  </si>
  <si>
    <t>Start</t>
  </si>
  <si>
    <t>Affected Type</t>
  </si>
  <si>
    <t>Activity Type</t>
  </si>
  <si>
    <t>Exponent</t>
  </si>
  <si>
    <t>Exponent_P0</t>
  </si>
  <si>
    <t>Exponent_discounting</t>
  </si>
  <si>
    <t>Affected Group (Index from Stakeholder Profile)</t>
  </si>
  <si>
    <t>Step 2: Stakeholder Profile</t>
  </si>
  <si>
    <t>Stakeholder Group</t>
  </si>
  <si>
    <t>Non-business Count</t>
  </si>
  <si>
    <t>Small Business Count</t>
  </si>
  <si>
    <t>Med/Large Business Count</t>
  </si>
  <si>
    <t>Total Business Count</t>
  </si>
  <si>
    <t>Total Stakeholder Count</t>
  </si>
  <si>
    <t>Non-business Growth Rate</t>
  </si>
  <si>
    <t>Small Business Growth Rate</t>
  </si>
  <si>
    <t>Med/Large Business Growth Rate</t>
  </si>
  <si>
    <t>Assumptions/Notes</t>
  </si>
  <si>
    <t>Step 3: Activities</t>
  </si>
  <si>
    <t>Activity</t>
  </si>
  <si>
    <t>Administrative or Compliance</t>
  </si>
  <si>
    <t>In or Out</t>
  </si>
  <si>
    <t>Upfront or  Ongoing</t>
  </si>
  <si>
    <t>Start Year</t>
  </si>
  <si>
    <t>End Year</t>
  </si>
  <si>
    <t>Affected Stakeholder Group</t>
  </si>
  <si>
    <t>Affected Stakeholder Type</t>
  </si>
  <si>
    <t>Apply to Existing Stakeholders</t>
  </si>
  <si>
    <t>Apply to New Entrants</t>
  </si>
  <si>
    <t>Capital or Labour</t>
  </si>
  <si>
    <t>Capital: Number of Units</t>
  </si>
  <si>
    <t>Capital: Unit Price</t>
  </si>
  <si>
    <t>Capital: Price Year of Unit Price</t>
  </si>
  <si>
    <t>Annual Frequency</t>
  </si>
  <si>
    <t>Labour: Time Spent (hours)</t>
  </si>
  <si>
    <t>Labour: Internal or External Overhead</t>
  </si>
  <si>
    <t>Labour: Staff Level (Wage Without Overhead)</t>
  </si>
  <si>
    <t>Error Check</t>
  </si>
  <si>
    <t>Administrative</t>
  </si>
  <si>
    <t>Annual Stakeholder Count</t>
  </si>
  <si>
    <t>Group</t>
  </si>
  <si>
    <t>Type</t>
  </si>
  <si>
    <t xml:space="preserve">Version: </t>
  </si>
  <si>
    <t>Version date (yyyy-mm-dd):</t>
  </si>
  <si>
    <t>GCwiki link:</t>
  </si>
  <si>
    <t>https://wiki.gccollab.ca/File:RCCV4_Beta.xlsx</t>
  </si>
  <si>
    <t>Right-click and Refresh this box to check for a new version</t>
  </si>
  <si>
    <t>Objective:</t>
  </si>
  <si>
    <t>To quantify and monetize:</t>
  </si>
  <si>
    <t>(1) the direct administrative costs associated with INs and OUTs under the one-for-one rule, and</t>
  </si>
  <si>
    <t xml:space="preserve">(2) the direct compliance and administrative costs associated with the small business lens.   </t>
  </si>
  <si>
    <t>Methodology:</t>
  </si>
  <si>
    <t>Standard Cost Model</t>
  </si>
  <si>
    <t>Guidance:</t>
  </si>
  <si>
    <t>Policy on Limiting Regulatory Burden on Business</t>
  </si>
  <si>
    <t>Guide to Limiting Regulatory Burden on Business</t>
  </si>
  <si>
    <t>For support, contact:</t>
  </si>
  <si>
    <t xml:space="preserve">CORE-CCR@tbs-sct.gc.ca </t>
  </si>
  <si>
    <t>Sheet colour legend:</t>
  </si>
  <si>
    <t>: User input required (white cells only).</t>
  </si>
  <si>
    <t>: One-for-one rule and Small Business Lens output (required for RIAS).</t>
  </si>
  <si>
    <t>: Optional output tables (not necessarily required for RIAS).</t>
  </si>
  <si>
    <t>: Optional inputs (edits are not necessary).</t>
  </si>
  <si>
    <t>: RCC model internals (edits are not recommended).</t>
  </si>
  <si>
    <t>Instructions:</t>
  </si>
  <si>
    <t>Step 1: On the 'Initiative Details' sheet, enter information pertaining to the regulatory change.</t>
  </si>
  <si>
    <t>Step 2: On the 'Stakeholder Profile' sheet, enter stakeholder group names, counts, and growth rates at the start of the analytical period.</t>
  </si>
  <si>
    <t>Step 3: On the 'Activities' sheet, enter information about each regulatory requirement (e.g., start/end dates, capital/labour costs, frequency).</t>
  </si>
  <si>
    <t xml:space="preserve">Step 4: Add the results from the One-for-one and Small Business Lens sheets into the RIAS.   </t>
  </si>
  <si>
    <t xml:space="preserve">Step 5: Adjust the auto-generated One-for-one RIAS text, as appropriate. </t>
  </si>
  <si>
    <t>Step 1: Initiative Profile</t>
  </si>
  <si>
    <t>Name of Regulatory Change:</t>
  </si>
  <si>
    <t>Type of Regulatory Change:</t>
  </si>
  <si>
    <t>Amendment</t>
  </si>
  <si>
    <t>Responsible Organization(s):</t>
  </si>
  <si>
    <t>Brief Description of the Regulatory Change:</t>
  </si>
  <si>
    <t>Number of Regulations Repealed:</t>
  </si>
  <si>
    <t>Number of Regulations Introduced:</t>
  </si>
  <si>
    <t>Price Year:</t>
  </si>
  <si>
    <t>Year of Registration:</t>
  </si>
  <si>
    <t>Present Value Base Year:</t>
  </si>
  <si>
    <t>Length of Analytical Period (Years):</t>
  </si>
  <si>
    <t>Discount Rate:</t>
  </si>
  <si>
    <t>One-for-one</t>
  </si>
  <si>
    <t>Business count, time period, units of measurement:</t>
  </si>
  <si>
    <t>Count of all businesses at the start of the analytical period:</t>
  </si>
  <si>
    <t>Time (years):</t>
  </si>
  <si>
    <t>Price year:</t>
  </si>
  <si>
    <t>Discount rate:</t>
  </si>
  <si>
    <t>Discount base year:</t>
  </si>
  <si>
    <t>Results:</t>
  </si>
  <si>
    <t>Net Present Value Administrative Impact, All Businesses:</t>
  </si>
  <si>
    <t>Net Present Value Administrative Impact Per Business:</t>
  </si>
  <si>
    <t>Annualized Administrative Impact, All Businesses:</t>
  </si>
  <si>
    <t>Annualized Administrative Impact Per Business:</t>
  </si>
  <si>
    <t>Note: negative values represent net costs, positive values represent net benefits</t>
  </si>
  <si>
    <t>Draft RIAS text (revise as needed)</t>
  </si>
  <si>
    <t>Annual breakdown:</t>
  </si>
  <si>
    <t>IN</t>
  </si>
  <si>
    <t>CBA Parameter</t>
  </si>
  <si>
    <t>Annualized</t>
  </si>
  <si>
    <t>N/A</t>
  </si>
  <si>
    <t>Undiscounted Impacts (2012 price year)</t>
  </si>
  <si>
    <t>Discounted Impacts (2012 price year, 7% discount rate, 2012 discount base year)</t>
  </si>
  <si>
    <t>OUT</t>
  </si>
  <si>
    <t>NET</t>
  </si>
  <si>
    <t>Small Business Lens</t>
  </si>
  <si>
    <t>Variable</t>
  </si>
  <si>
    <t>Value</t>
  </si>
  <si>
    <t>Instructions</t>
  </si>
  <si>
    <t>Count of small businesses at the start of the analytical period:</t>
  </si>
  <si>
    <t>Do not change</t>
  </si>
  <si>
    <t>Format values as:</t>
  </si>
  <si>
    <t>Text</t>
  </si>
  <si>
    <t>User input required</t>
  </si>
  <si>
    <t>Decimals (for Text formatting):</t>
  </si>
  <si>
    <t>Order of magnitude:</t>
  </si>
  <si>
    <t>Single</t>
  </si>
  <si>
    <t>Sort tables by:</t>
  </si>
  <si>
    <t>Default</t>
  </si>
  <si>
    <t>Annual impact of all activities to all stakeholders throughout the analytical period</t>
  </si>
  <si>
    <t>Present value base year:</t>
  </si>
  <si>
    <t>Input required</t>
  </si>
  <si>
    <t>Group tables by:</t>
  </si>
  <si>
    <t>Discounting</t>
  </si>
  <si>
    <t>Display years in:</t>
  </si>
  <si>
    <t>Rows</t>
  </si>
  <si>
    <t>Note: negative net values represent net costs and positive net values represent net benefits.</t>
  </si>
  <si>
    <t xml:space="preserve"> </t>
  </si>
  <si>
    <t>Annual Impact by Activity</t>
  </si>
  <si>
    <t>Columns</t>
  </si>
  <si>
    <t>Annual Impact by Stakeholder</t>
  </si>
  <si>
    <t>Annual Impact by Activity and Stakeholder</t>
  </si>
  <si>
    <t>Draft Cost-benefit Statement (revise as needed before adding to the RIAS)</t>
  </si>
  <si>
    <t>Number of years</t>
  </si>
  <si>
    <t>Other relevant year 1:</t>
  </si>
  <si>
    <t>Input optional</t>
  </si>
  <si>
    <t>Other relevant year 2:</t>
  </si>
  <si>
    <t>Other relevant year 3:</t>
  </si>
  <si>
    <t>Statistics Canada.Table  14-10-0340-01   Employee wages by occupation, annual, 1997 to 2022</t>
  </si>
  <si>
    <t>Number</t>
  </si>
  <si>
    <t>National Occupational Classification (NOC)</t>
  </si>
  <si>
    <t>Price year of data source</t>
  </si>
  <si>
    <t>Wage in price year of data source (without overhead)</t>
  </si>
  <si>
    <t>Wage in price year of analysis (without overhead)</t>
  </si>
  <si>
    <t>Canada average</t>
  </si>
  <si>
    <t>Management occupations</t>
  </si>
  <si>
    <t>Senior management occupations</t>
  </si>
  <si>
    <t>Specialized middle management occupations</t>
  </si>
  <si>
    <t>Middle management occupations in retail and wholesale trade and customer services</t>
  </si>
  <si>
    <t>Middle management occupations in trades, transportation, production and utilities</t>
  </si>
  <si>
    <t>Business, finance and administration occupations</t>
  </si>
  <si>
    <t>Professional occupations in business and finance</t>
  </si>
  <si>
    <t>Administrative and financial supervisors and administrative occupations</t>
  </si>
  <si>
    <t>Finance, insurance and related business administrative occupations</t>
  </si>
  <si>
    <t>Office support occupations</t>
  </si>
  <si>
    <t>Distribution, tracking and scheduling co-ordination occupations</t>
  </si>
  <si>
    <t>Natural and applied sciences and related occupations</t>
  </si>
  <si>
    <t>Professional occupations in natural and applied sciences</t>
  </si>
  <si>
    <t>Technical occupations related to natural and applied sciences</t>
  </si>
  <si>
    <t>Health occupations</t>
  </si>
  <si>
    <t>Professional occupations in nursing</t>
  </si>
  <si>
    <t>Professional occupations in health (except nursing)</t>
  </si>
  <si>
    <t>Technical occupations in health</t>
  </si>
  <si>
    <t>Assisting occupations in support of health services</t>
  </si>
  <si>
    <t>Occupations in education, law and social, community and government services</t>
  </si>
  <si>
    <t>Professional occupations in education services</t>
  </si>
  <si>
    <t>Professional occupations in law and social, community and government services</t>
  </si>
  <si>
    <t>Paraprofessional occupations in legal, social, community and education services</t>
  </si>
  <si>
    <t>Occupations in front-line public protection services</t>
  </si>
  <si>
    <t>Care providers and educational, legal and public protection support occupations</t>
  </si>
  <si>
    <t>Occupations in art, culture, recreation and sport</t>
  </si>
  <si>
    <t>Professional occupations in art and culture</t>
  </si>
  <si>
    <t>Technical occupations in art, culture, recreation and sport</t>
  </si>
  <si>
    <t>Sales and service occupations</t>
  </si>
  <si>
    <t>Retail sales supervisors and specialized sales occupations</t>
  </si>
  <si>
    <t>Service supervisors and specialized service occupations</t>
  </si>
  <si>
    <t>Sales representatives and salespersons - wholesale and retail trade</t>
  </si>
  <si>
    <t>Service representatives and other customer and personal services occupations</t>
  </si>
  <si>
    <t>Sales support occupations</t>
  </si>
  <si>
    <t>Service support and other service occupations, n.e.c.</t>
  </si>
  <si>
    <t>Trades, transport and equipment operators and related occupations</t>
  </si>
  <si>
    <t>Industrial, electrical and construction trades</t>
  </si>
  <si>
    <t>Maintenance and equipment operation trades</t>
  </si>
  <si>
    <t>Other installers, repairers and servicers and material handlers</t>
  </si>
  <si>
    <t>Transport and heavy equipment operation and related maintenance occupations</t>
  </si>
  <si>
    <t>Trades helpers, construction labourers and related occupations</t>
  </si>
  <si>
    <t>Natural resources, agriculture and related production occupations</t>
  </si>
  <si>
    <t>Supervisors and technical occupations in natural resources, agriculture and related production</t>
  </si>
  <si>
    <t>Workers in natural resources, agriculture and related production</t>
  </si>
  <si>
    <t>Harvesting, landscaping and natural resources labourers</t>
  </si>
  <si>
    <t>Occupations in manufacturing and utilities</t>
  </si>
  <si>
    <t>Processing, manufacturing and utilities supervisors and central control operators</t>
  </si>
  <si>
    <t>Processing and manufacturing machine operators and related production workers</t>
  </si>
  <si>
    <t>Assemblers in manufacturing</t>
  </si>
  <si>
    <t>Labourers in processing, manufacturing and utilities</t>
  </si>
  <si>
    <t>Statistics Canada. Table 18-10-0005-01  Consumer Price Index, annual average, not seasonally adjusted</t>
  </si>
  <si>
    <t>Index</t>
  </si>
  <si>
    <t>Stakeholder Drop-down List</t>
  </si>
  <si>
    <t>Discount Rate Drop-down List</t>
  </si>
  <si>
    <t>Analytical Timeline Drop-down List</t>
  </si>
  <si>
    <t>YoR &amp; PV Base Year Drop-down List</t>
  </si>
  <si>
    <t>Price Year Drop-down List</t>
  </si>
  <si>
    <t>Activity Start/End Drop-down List</t>
  </si>
  <si>
    <t>Decimals for Wage Drop-down List</t>
  </si>
  <si>
    <t>Wage drop-down List</t>
  </si>
  <si>
    <t>Other relevant year(s) 1</t>
  </si>
  <si>
    <t>Other relevant year(s) 2</t>
  </si>
  <si>
    <t>Other relevant year(s) 3</t>
  </si>
  <si>
    <t>Stakeholder 1, Undiscounted Impacts</t>
  </si>
  <si>
    <t>Stakeholder 1, Discounted Impacts</t>
  </si>
  <si>
    <t>Name</t>
  </si>
  <si>
    <t>Explanation</t>
  </si>
  <si>
    <t>repeat(Periods, ActivityNumber)</t>
  </si>
  <si>
    <t>IFERROR(INDEX(tbl_Activities[Activity], A2#), "")</t>
  </si>
  <si>
    <t>IFERROR(INDEX(tbl_Activities[Administrative or Compliance], A2#), "")</t>
  </si>
  <si>
    <t>IFERROR(INDEX(tbl_Activities[In or Out], A2#), "")</t>
  </si>
  <si>
    <t>IFERROR(
LET(
a, FILTER(Periods, Checkblank),
b, SEQUENCE(COUNTA(FILTER(Periods, Checkblank))),
c, TRANSPOSE(b),
d, --(b&gt;=c),
e, MMULT(d, a),
f, SUM(a),
g, SEQUENCE(f),
h, XMATCH(g-1, e,-1),
I, IFERROR(INDEX(e,h),0),
j, g - I,
j)-IF(INDEX(tbl_Activities[Upfront or  Ongoing], A2#)="Upfront", 1, 0),
"")</t>
  </si>
  <si>
    <t>IFERROR(IF(INDEX(tbl_Activities[Upfront or  Ongoing], A2#)="Ongoing", INDEX(tbl_Activities[Annual Frequency], A2#), 1), "")</t>
  </si>
  <si>
    <t>IFERROR(INDEX(tbl_Activities[Affected Stakeholder Group], A2#), "")</t>
  </si>
  <si>
    <t>IFERROR(INDEX(tbl_Activities[Percent Affected], A2#), "")</t>
  </si>
  <si>
    <t>IFERROR(LET(
     InternalExternal, IF(INDEX(tbl_Activities[Labour: Internal or External Overhead], A2#)="Internal (25%)",0.25, IF(INDEX(tbl_Activities[Labour: Internal or External Overhead], A2#)="External (50%)", 0.5, 0)),
     CapitalLabour, INDEX(tbl_Activities[Capital or Labour], A2#),
     StaffLevel, LEFT(INDEX(tbl_Activities[Labour: Staff Level (Wage Without Overhead)],A2#), 2),
     StaffWage,XLOOKUP(StaffLevel,LEFT(Controls!I2#, 2),Controls!J2#,"Error3",0,1),
     InOut,IF(INDEX(tbl_Activities[In or Out], A2#)="In",1,-1),
InOut*IF(CapitalLabour="Labour",StaffWage*(1+InternalExternal)*INDEX(tbl_Activities[Labour: Time Spent (hours)],A2#),INDEX(tbl_Activities[Capital: Number of Units], A2#)*INDEX(tbl_Activities[Capital: Unit Price], A2#)
     *INDEX(tbl_CPI[Index], MATCH(PriceYear, tbl_CPI[Year], 0))/INDEX(tbl_CPI[Index], MATCH(INDEX(tbl_Activities[Capital: Price Year of Unit Price], A2#), tbl_CPI[Year], 0))
 )), 0)</t>
  </si>
  <si>
    <t>IFERROR($O$2#+$P$2#,0)</t>
  </si>
  <si>
    <t>IFERROR($Q$2#+$N$2#, 0)</t>
  </si>
  <si>
    <t>IFERROR($T$2#+$U$2#, 0)</t>
  </si>
  <si>
    <t>IFERROR($V$2#+$S$2#, 0)</t>
  </si>
  <si>
    <t>AF_7_10</t>
  </si>
  <si>
    <t>Annualization factor locked at the parameters needed for one-for-one section</t>
  </si>
  <si>
    <t>Individual Break Down</t>
  </si>
  <si>
    <t>AF</t>
  </si>
  <si>
    <t>Annualization factor that adjusts with discount rate and analytical period length</t>
  </si>
  <si>
    <t>Activity Name</t>
  </si>
  <si>
    <t>IN / OUT</t>
  </si>
  <si>
    <t>Labour / Capital</t>
  </si>
  <si>
    <t>Capital Units</t>
  </si>
  <si>
    <t>Capital Unit Price ($2012)</t>
  </si>
  <si>
    <t>Labour Hours</t>
  </si>
  <si>
    <t>Labour Wage with overhead in $2012</t>
  </si>
  <si>
    <t>Annual Labour Hours</t>
  </si>
  <si>
    <t>Annual Labour Cost ($2012)</t>
  </si>
  <si>
    <t>Total Annual Capital Units</t>
  </si>
  <si>
    <t>Total Annual Capital Cost ($2012)</t>
  </si>
  <si>
    <t>Annualized Impact, in $2012, discounted to 2012</t>
  </si>
  <si>
    <t>Max Businesses</t>
  </si>
  <si>
    <t>Activity Roll Up</t>
  </si>
  <si>
    <t>Annualized Labour IN</t>
  </si>
  <si>
    <t>Annualized Labour OUT</t>
  </si>
  <si>
    <t>Annualized Capital In</t>
  </si>
  <si>
    <t>Annualized Capital Out</t>
  </si>
  <si>
    <t>Net or Total</t>
  </si>
  <si>
    <t>Business Labour IN</t>
  </si>
  <si>
    <t>Businesses Labour OUT</t>
  </si>
  <si>
    <t>Businesses Capital In</t>
  </si>
  <si>
    <t>Businesses Capital Out</t>
  </si>
  <si>
    <t>Average Time IN</t>
  </si>
  <si>
    <t>Average Time OUT</t>
  </si>
  <si>
    <t>UNIT Capital IN</t>
  </si>
  <si>
    <t>UNIT Capital Out</t>
  </si>
  <si>
    <t>Frequency Labour IN</t>
  </si>
  <si>
    <t>Frequency Labour OUT</t>
  </si>
  <si>
    <t>Frequency Capital In</t>
  </si>
  <si>
    <t>Frequency Capital Out</t>
  </si>
  <si>
    <t>Average Wage In</t>
  </si>
  <si>
    <t>Average Wage Out</t>
  </si>
  <si>
    <t>Average Capital Unit Cost In</t>
  </si>
  <si>
    <t>Weighted Capital Unit Cost OUT</t>
  </si>
  <si>
    <t>General Text</t>
  </si>
  <si>
    <t>The one-for-one rule does not apply as the regulation is made by an independent regulatory authority and is outside of the scope of the rule.</t>
  </si>
  <si>
    <t>The one-for-one rule does not apply as there is no impact on business.</t>
  </si>
  <si>
    <t>The one-for-one rule does not apply as there is no incremental change in administrative burden on business and no regulatory titles are repealed or introduced.</t>
  </si>
  <si>
    <t>The one-for-one rule does not apply as there is no incremental change in administrative burden on business. The proposal repeals an existing regulation and replaces it with a new regulatory title, which results in no net increase or decrease in regulatory titles.</t>
  </si>
  <si>
    <t>increase</t>
  </si>
  <si>
    <t>decrease</t>
  </si>
  <si>
    <t xml:space="preserve">Repealed </t>
  </si>
  <si>
    <t>Introduced</t>
  </si>
  <si>
    <t xml:space="preserve">no regulatory titles are repealed or introduced. </t>
  </si>
  <si>
    <t>New Regulation</t>
  </si>
  <si>
    <t xml:space="preserve">a new regulatory title (title in) is introduced. </t>
  </si>
  <si>
    <t>Repeal Only</t>
  </si>
  <si>
    <t xml:space="preserve">an existing regulatory title is repealed (title out). </t>
  </si>
  <si>
    <t>Repeal and Replace</t>
  </si>
  <si>
    <t xml:space="preserve">the proposal repeals an existing regulation and replaces it with a new regulatory title, which results in no net increase or decrease in regulatory titles. </t>
  </si>
  <si>
    <t>Multiple Repeal and Replace (One New title)</t>
  </si>
  <si>
    <t>?</t>
  </si>
  <si>
    <t>Numeral</t>
  </si>
  <si>
    <t>Word</t>
  </si>
  <si>
    <t>one</t>
  </si>
  <si>
    <t>two</t>
  </si>
  <si>
    <t>three</t>
  </si>
  <si>
    <t>four</t>
  </si>
  <si>
    <t>five</t>
  </si>
  <si>
    <t>six</t>
  </si>
  <si>
    <t>seven</t>
  </si>
  <si>
    <t>eight</t>
  </si>
  <si>
    <t xml:space="preserve">nine </t>
  </si>
  <si>
    <t>ten</t>
  </si>
  <si>
    <t>twenty</t>
  </si>
  <si>
    <t>thrity</t>
  </si>
  <si>
    <t>forty</t>
  </si>
  <si>
    <t>fifty</t>
  </si>
  <si>
    <t>one hundred</t>
  </si>
  <si>
    <t>(Click the cells above for more info)</t>
  </si>
  <si>
    <t>Custom Wage #1</t>
  </si>
  <si>
    <t>IFERROR(
IF(Z2#="Start of Analytical Period", YearOfRegistration,
IF(Z2#="End of Analytical Period", YearOfRegistration+Time-1,
Z2#))
+ROUNDUP(IF(F2#/MAX(G2#, 1)-1&lt;0, 0, F2#/MAX(G2#, 1)-1), 0), "")</t>
  </si>
  <si>
    <t>MAKEARRAY(OutputRows, 1, LAMBDA(r,c,
IF(INDEX(AA2#, r)="All Businesses", 0, IF(INDEX(AA2#, r)="Med/Large Businesses", 0, IF(INDEX(AA2#, r)="Small Businesses", 0,
LET(
Activity_Type, INDEX(AB2#, r),
AllGroups, INDEX(H2#, r)="All Groups",
period, INDEX(F2#, r),
freq, INDEX(G2#, r),
NBCounts, FILTER(tbl_Stakeholders[Non-business Count], tbl_Stakeholders[Stakeholder Group]&lt;&gt;""),
NBGrowth, FILTER(tbl_Stakeholders[Non-business Growth Rate], tbl_Stakeholders[Stakeholder Group]&lt;&gt;""),
Group_Index, INDEX(AF2#, r),
p0, INDEX(NBCounts, Group_Index),
growth, INDEX(NBGrowth, Group_Index),
IFERROR(
INDEX(TAKE(DROP(I:I,MATCH($I$1,I:I,0)),XMATCH(,DROP(I:I,MATCH($I$1,I:I,0)))-1), r)*
IF(freq&lt;1,
LET(
mod, MOD(SEQUENCE(period)+1/freq-1, 1/freq),
IF(AllGroups,
     LET(
          NBCount_Growing, FILTER(NBCounts, NBGrowth&gt;0),
          NBGrowth_Growing, FILTER(NBGrowth, NBGrowth&gt;0),
          NBCount_NotGrowing, FILTER(NBCounts, NBGrowth&lt;=0),
          NBGrowth_NotGrowing, FILTER(NBGrowth, NBGrowth&lt;=0),
     IF(Activity_Type=1, LET(
          a, IFERROR(MAKEARRAY(period, 1, LAMBDA(i,j, IF(i=1, SUMPRODUCT(NBCount_Growing, (1+NBGrowth_Growing)^(INDEX(AD2#, r)+1)), SUMPRODUCT(NBCount_Growing, NBGrowth_Growing, (1+NBGrowth_Growing)^(INDEX(AD2#, r)+i-1))))), 0),
          b, IFERROR(MAKEARRAY(period, 1, LAMBDA(i,j, IF(i=1, SUMPRODUCT(NBCount_NotGrowing, (1+NBGrowth_NotGrowing)^(INDEX(AD2#, r)+1)), IF(INDEX(mod, i)=0, SUMPRODUCT(NBCount_NotGrowing, (1+NBGrowth_NotGrowing)^INDEX(AC2#, r)), 0)))), 0),
          SUM(FILTER(a, mod=INDEX(mod, period)), TAKE(b, -1))),
     IF(Activity_Type=2, IF(INDEX(mod, r)&gt;0, 0, SUM(IFERROR(SUMPRODUCT(NBCount_Growing, (1+NBGrowth_Growing)^INDEX(AD2#, r)), 0), IFERROR(SUMPRODUCT(NBCount_NotGrowing, (1+NBGrowth_NotGrowing)^INDEX(AC2#, r)), 0))),
     IF(Activity_Type=3, LET(a, IFERROR(MAKEARRAY(period, 1, LAMBDA(i,j, SUMPRODUCT(NBCount_Growing, NBGrowth_Growing, (1+NBGrowth_Growing)^(INDEX(AD2#, r)+i-1)))), 0), SUM(FILTER(a, mod=INDEX(mod, period)))), 0)))
     ),
     IF(Activity_Type=1, LET(
          c, MAKEARRAY(period, 1, LAMBDA(i,j, IF(i=1, p0*(1+growth)^(INDEX(AD2#, r)+1), IF(growth&gt;0, p0*growth*(1+growth)^(INDEX(AD2#, r)+i-1), IF(INDEX(mod, i)=0, p0*(1+growth)^INDEX(AC2#, r), 0))))),
          IF(growth&gt;0, SUM(FILTER(c, mod=INDEX(mod, period))), TAKE(c, -1))),
     IF(Activity_Type=2, IF(INDEX(mod, r)&gt;0, 0, p0*(1+growth)^IF(growth&lt;0, INDEX(AC2#, r), INDEX(AD2#, r))),
     IF(Activity_Type=3, LET(c, MAKEARRAY(period, 1, LAMBDA(i,j, IF(growth&gt;0, p0*growth*(1+growth)^(INDEX(AD2#, r)+i-1), 0))), IF(growth&gt;0, SUM(FILTER(c, mod=INDEX(mod, period))), TAKE(c, -1))), 0))))
     ),
IF(Activity_Type=1, IF(AllGroups, SUMPRODUCT(NBCounts, (1+NBGrowth)^INDEX(AC2#, r)), p0*(1+growth)^INDEX(AC2#, r)),
IF(Activity_Type=2, IF(AllGroups, SUMPRODUCT(NBCounts, (1+NBGrowth)^IF(NBGrowth&lt;0, INDEX(AC2#, r), INDEX(AD2#, r))), p0*(1+growth)^IF(growth&lt;0, INDEX(AC2#, r), INDEX(AD2#, r))),
IF(Activity_Type=3, IF(AllGroups, SUMPRODUCT(NBCounts, (1+IF(NBGrowth&lt;0, 0, NBGrowth))^INDEX(AC2#, r)-(1+IF(NBGrowth&lt;0, 0, NBGrowth))^INDEX(AD2#, r)), IF(growth&lt;=0, 0, p0*((1+growth)^INDEX(AC2#, r)-(1+growth)^INDEX(AD2#, r)))),
IF(Activity_Type=4, IF(AllGroups, IF(period=0, SUMPRODUCT(NBCounts, (1+NBGrowth)^INDEX(AC2#, r)), LET(g, (1+IF(NBGrowth&lt;0, 0, NBGrowth)), SUMPRODUCT(NBCounts, g^INDEX(AC2#, r)-g^(INDEX(AC2#, r-1))))), IF(period=0, p0*(1+growth)^INDEX(AC2#, r), IF(growth&lt;0, 0, p0*((1+growth)^INDEX(AC2#, r)-(1+growth)^INDEX(AC2#, r-1))))),
IF(Activity_Type=5, IF(AllGroups, IF(period&gt;0, 0, SUMPRODUCT(NBCounts, (1+NBGrowth)^INDEX(AC2#, r))), IF(period&gt;0, 0, p0*(1+growth)^INDEX(AC2#, r))),
IF(Activity_Type=6, IF(AllGroups, IF(period=0, 0, LET(g, (1+IF(NBGrowth&lt;0, 0, NBGrowth)), SUMPRODUCT(NBCounts, g^INDEX(AC2#, r)-g^(INDEX(AC2#, r-1))))), IF(period=0, 0, IF(growth&lt;0, 0, p0*((1+growth)^INDEX(AC2#, r)-(1+growth)^INDEX(AC2#, r-1))))),
0))))))), "")))))))</t>
  </si>
  <si>
    <t>MAKEARRAY(OutputRows, 1, LAMBDA(r,c,
IF(INDEX(AA2#, r)="Med/Large Businesses", 0, IF(INDEX(AA2#, r)="All Non-Businesses", 0,
LET(
Activity_Type, INDEX(AB2#, r),
AllGroups, INDEX(H2#, r)="All Groups",
period, INDEX(F2#, r),
freq, INDEX(G2#, r),
SBCounts, FILTER(tbl_Stakeholders[Small Business Count], tbl_Stakeholders[Stakeholder Group]&lt;&gt;""),
SBGrowth, FILTER(tbl_Stakeholders[Small Business Growth Rate], tbl_Stakeholders[Stakeholder Group]&lt;&gt;""),
Group_Index, INDEX(AF2#, r),
p0, INDEX(SBCounts, Group_Index),
growth, INDEX(SBGrowth, Group_Index),
IFERROR(
INDEX(TAKE(DROP(I:I,MATCH($I$1,I:I,0)),XMATCH(,DROP(I:I,MATCH($I$1,I:I,0)))-1), r)*
IF(freq&lt;1,
LET(
mod, MOD(SEQUENCE(period)+1/freq-1, 1/freq),
IF(AllGroups,
     LET(
          SBCount_Growing, FILTER(SBCounts, SBGrowth&gt;0),
          SBGrowth_Growing, FILTER(SBGrowth, SBGrowth&gt;0),
          SBCount_NotGrowing, FILTER(SBCounts, SBGrowth&lt;=0),
          SBGrowth_NotGrowing, FILTER(SBGrowth, SBGrowth&lt;=0),
     IF(Activity_Type=1, LET(
          a, IFERROR(MAKEARRAY(period, 1, LAMBDA(i,j, IF(i=1, SUMPRODUCT(SBCount_Growing, (1+SBGrowth_Growing)^(INDEX(AD2#, r)+1)), SUMPRODUCT(SBCount_Growing, SBGrowth_Growing, (1+SBGrowth_Growing)^(INDEX(AD2#, r)+i-1))))), 0),
          b, IFERROR(MAKEARRAY(period, 1, LAMBDA(i,j, IF(i=1, SUMPRODUCT(SBCount_NotGrowing, (1+SBGrowth_NotGrowing)^(INDEX(AD2#, r)+1)), IF(INDEX(mod, i)=0, SUMPRODUCT(SBCount_NotGrowing, (1+SBGrowth_NotGrowing)^INDEX(AC2#, r)), 0)))), 0),
          SUM(FILTER(a, mod=INDEX(mod, period)), TAKE(b, -1))),
     IF(Activity_Type=2, IF(INDEX(mod, r)&gt;0, 0, SUM(IFERROR(SUMPRODUCT(SBCount_Growing, (1+SBGrowth_Growing)^INDEX(AD2#, r)), 0), IFERROR(SUMPRODUCT(SBCount_NotGrowing, (1+SBGrowth_NotGrowing)^INDEX(AC2#, r)), 0))),
     IF(Activity_Type=3, LET(a, IFERROR(MAKEARRAY(period, 1, LAMBDA(i,j, SUMPRODUCT(SBCount_Growing, SBGrowth_Growing, (1+SBGrowth_Growing)^(INDEX(AD2#, r)+i-1)))), 0), SUM(FILTER(a, mod=INDEX(mod, period)))), 0)))
     ),
     IF(Activity_Type=1, LET(
          c, MAKEARRAY(period, 1, LAMBDA(i,j, IF(i=1, p0*(1+growth)^(INDEX(AD2#, r)+1), IF(growth&gt;0, p0*growth*(1+growth)^(INDEX(AD2#, r)+i-1), IF(INDEX(mod, i)=0, p0*(1+growth)^INDEX(AC2#, r), 0))))),
          IF(growth&gt;0, SUM(FILTER(c, mod=INDEX(mod, period))), TAKE(c, -1))),
     IF(Activity_Type=2, IF(INDEX(mod, r)&gt;0, 0, p0*(1+growth)^IF(growth&lt;0, INDEX(AC2#, r), INDEX(AD2#, r))),
     IF(Activity_Type=3, LET(c, MAKEARRAY(period, 1, LAMBDA(i,j, IF(growth&gt;0, p0*growth*(1+growth)^(INDEX(AD2#, r)+i-1), 0))), IF(growth&gt;0, SUM(FILTER(c, mod=INDEX(mod, period))), TAKE(c, -1))), 0))))
     ),
IF(Activity_Type=1, IF(AllGroups, SUMPRODUCT(SBCounts, (1+SBGrowth)^INDEX(AC2#, r)), p0*(1+growth)^INDEX(AC2#, r)),
IF(Activity_Type=2, IF(AllGroups, SUMPRODUCT(SBCounts, (1+SBGrowth)^IF(SBGrowth&lt;0, INDEX(AC2#, r), INDEX(AD2#, r))), p0*(1+growth)^IF(growth&lt;0, INDEX(AC2#, r), INDEX(AD2#, r))),
IF(Activity_Type=3, IF(AllGroups, SUMPRODUCT(SBCounts, (1+IF(SBGrowth&lt;0, 0, SBGrowth))^INDEX(AC2#, r)-(1+IF(SBGrowth&lt;0, 0, SBGrowth))^INDEX(AD2#, r)), IF(growth&lt;=0, 0, p0*((1+growth)^INDEX(AC2#, r)-(1+growth)^INDEX(AD2#, r)))),
IF(Activity_Type=4, IF(AllGroups, IF(period=0, SUMPRODUCT(SBCounts, (1+SBGrowth)^INDEX(AC2#, r)), LET(g, (1+IF(SBGrowth&lt;0, 0, SBGrowth)), SUMPRODUCT(SBCounts, g^INDEX(AC2#, r)-g^(INDEX(AC2#, r-1))))), IF(period=0, p0*(1+growth)^INDEX(AC2#, r), IF(growth&lt;0, 0, p0*((1+growth)^INDEX(AC2#, r)-(1+growth)^INDEX(AC2#, r-1))))),
IF(Activity_Type=5, IF(AllGroups, IF(period&gt;0, 0, SUMPRODUCT(SBCounts, (1+SBGrowth)^INDEX(AC2#, r))), IF(period&gt;0, 0, p0*(1+growth)^INDEX(AC2#, r))),
IF(Activity_Type=6, IF(AllGroups, IF(period=0, 0, LET(g, (1+IF(SBGrowth&lt;0, 0, SBGrowth)), SUMPRODUCT(SBCounts, g^INDEX(AC2#, r)-g^(INDEX(AC2#, r-1))))), IF(period=0, 0, IF(growth&lt;0, 0, p0*((1+growth)^INDEX(AC2#, r)-(1+growth)^INDEX(AC2#, r-1))))),
0))))))), ""))))))</t>
  </si>
  <si>
    <t>MAKEARRAY(OutputRows, 1, LAMBDA(r,c,
IF(INDEX(AA2#, r)="Small Businesses", 0, IF(INDEX(AA2#, r)="All Non-Businesses", 0,
LET(
Activity_Type, INDEX(AB2#, r),
AllGroups, INDEX(H2#, r)="All Groups",
period, INDEX(F2#, r),
freq, INDEX(G2#, r),
MLBCounts, FILTER(tbl_Stakeholders[Med/Large Business Count], tbl_Stakeholders[Stakeholder Group]&lt;&gt;""),
MLBGrowth, FILTER(tbl_Stakeholders[Med/Large Business Growth Rate], tbl_Stakeholders[Stakeholder Group]&lt;&gt;""),
Group_Index, INDEX(AF2#, r),
p0, INDEX(MLBCounts, Group_Index),
growth, INDEX(MLBGrowth, Group_Index),
IFERROR(
INDEX(TAKE(DROP(I:I,MATCH($I$1,I:I,0)),XMATCH(,DROP(I:I,MATCH($I$1,I:I,0)))-1), r)*
IF(freq&lt;1,
LET(
mod, MOD(SEQUENCE(period)+1/freq-1, 1/freq),
IF(AllGroups,
     LET(
          MLBCount_Growing, FILTER(MLBCounts, MLBGrowth&gt;0),
          MLBGrowth_Growing, FILTER(MLBGrowth, MLBGrowth&gt;0),
          MLBCount_NotGrowing, FILTER(MLBCounts, MLBGrowth&lt;=0),
          MLBGrowth_NotGrowing, FILTER(MLBGrowth, MLBGrowth&lt;=0),
     IF(Activity_Type=1, LET(
          a, IFERROR(MAKEARRAY(period, 1, LAMBDA(i,j, IF(i=1, SUMPRODUCT(MLBCount_Growing, (1+MLBGrowth_Growing)^(INDEX(AD2#, r)+1)), SUMPRODUCT(MLBCount_Growing, MLBGrowth_Growing, (1+MLBGrowth_Growing)^(INDEX(AD2#, r)+i-1))))), 0),
          b, IFERROR(MAKEARRAY(period, 1, LAMBDA(i,j, IF(i=1, SUMPRODUCT(MLBCount_NotGrowing, (1+MLBGrowth_NotGrowing)^(INDEX(AD2#, r)+1)), IF(INDEX(mod, i)=0, SUMPRODUCT(MLBCount_NotGrowing, (1+MLBGrowth_NotGrowing)^INDEX(AC2#, r)), 0)))), 0),
          SUM(FILTER(a, mod=INDEX(mod, period)), TAKE(b, -1))),
     IF(Activity_Type=2, IF(INDEX(mod, r)&gt;0, 0, SUM(IFERROR(SUMPRODUCT(MLBCount_Growing, (1+MLBGrowth_Growing)^INDEX(AD2#, r)), 0), IFERROR(SUMPRODUCT(MLBCount_NotGrowing, (1+MLBGrowth_NotGrowing)^INDEX(AC2#, r)), 0))),
     IF(Activity_Type=3, LET(a, IFERROR(MAKEARRAY(period, 1, LAMBDA(i,j, SUMPRODUCT(MLBCount_Growing, MLBGrowth_Growing, (1+MLBGrowth_Growing)^(INDEX(AD2#, r)+i-1)))), 0), SUM(FILTER(a, mod=INDEX(mod, period)))), 0)))
     ),
     IF(Activity_Type=1, LET(
          c, MAKEARRAY(period, 1, LAMBDA(i,j, IF(i=1, p0*(1+growth)^(INDEX(AD2#, r)+1), IF(growth&gt;0, p0*growth*(1+growth)^(INDEX(AD2#, r)+i-1), IF(INDEX(mod, i)=0, p0*(1+growth)^INDEX(AC2#, r), 0))))),
          IF(growth&gt;0, SUM(FILTER(c, mod=INDEX(mod, period))), TAKE(c, -1))),
     IF(Activity_Type=2, IF(INDEX(mod, r)&gt;0, 0, p0*(1+growth)^IF(growth&lt;0, INDEX(AC2#, r), INDEX(AD2#, r))),
     IF(Activity_Type=3, LET(c, MAKEARRAY(period, 1, LAMBDA(i,j, IF(growth&gt;0, p0*growth*(1+growth)^(INDEX(AD2#, r)+i-1), 0))), IF(growth&gt;0, SUM(FILTER(c, mod=INDEX(mod, period))), TAKE(c, -1))), 0))))
     ),
IF(Activity_Type=1, IF(AllGroups, SUMPRODUCT(MLBCounts, (1+MLBGrowth)^INDEX(AC2#, r)), p0*(1+growth)^INDEX(AC2#, r)),
IF(Activity_Type=2, IF(AllGroups, SUMPRODUCT(MLBCounts, (1+MLBGrowth)^IF(MLBGrowth&lt;0, INDEX(AC2#, r), INDEX(AD2#, r))), p0*(1+growth)^IF(growth&lt;0, INDEX(AC2#, r), INDEX(AD2#, r))),
IF(Activity_Type=3, IF(AllGroups, SUMPRODUCT(MLBCounts, (1+IF(MLBGrowth&lt;0, 0, MLBGrowth))^INDEX(AC2#, r)-(1+IF(MLBGrowth&lt;0, 0, MLBGrowth))^INDEX(AD2#, r)), IF(growth&lt;=0, 0, p0*((1+growth)^INDEX(AC2#, r)-(1+growth)^INDEX(AD2#, r)))),
IF(Activity_Type=4, IF(AllGroups, IF(period=0, SUMPRODUCT(MLBCounts, (1+MLBGrowth)^INDEX(AC2#, r)), LET(g, (1+IF(MLBGrowth&lt;0, 0, MLBGrowth)), SUMPRODUCT(MLBCounts, g^INDEX(AC2#, r)-g^(INDEX(AC2#, r-1))))), IF(period=0, p0*(1+growth)^INDEX(AC2#, r), IF(growth&lt;0, 0, p0*((1+growth)^INDEX(AC2#, r)-(1+growth)^INDEX(AC2#, r-1))))),
IF(Activity_Type=5, IF(AllGroups, IF(period&gt;0, 0, SUMPRODUCT(MLBCounts, (1+MLBGrowth)^INDEX(AC2#, r))), IF(period&gt;0, 0, p0*(1+growth)^INDEX(AC2#, r))),
IF(Activity_Type=6, IF(AllGroups, IF(period=0, 0, LET(g, (1+IF(MLBGrowth&lt;0, 0, MLBGrowth)), SUMPRODUCT(MLBCounts, g^INDEX(AC2#, r)-g^(INDEX(AC2#, r-1))))), IF(period=0, 0, IF(growth&lt;0, 0, p0*((1+growth)^INDEX(AC2#, r)-(1+growth)^INDEX(AC2#, r-1))))),
0))))))), ""))))))</t>
  </si>
  <si>
    <t>IFERROR($N$2#/(1+Discount)^$AE$2#,0)</t>
  </si>
  <si>
    <t>IFERROR($O$2#/(1+Discount)^$AE$2#,0)</t>
  </si>
  <si>
    <t>IFERROR(P2#/(1+Discount)^$AE$2#,0)</t>
  </si>
  <si>
    <t>IFERROR(--($C$2#="Administrative")*($O$2#+$P$2#)/(1.07)^$AE$2#, 0)</t>
  </si>
  <si>
    <t>IFERROR(INDEX(tbl_Activities[Start Year], $A$2#), "")</t>
  </si>
  <si>
    <t>IFERROR(INDEX(tbl_Activities[Affected Stakeholder Type], A2#), "")</t>
  </si>
  <si>
    <t>IFERROR(INDEX(ActivityType, A2#), "")</t>
  </si>
  <si>
    <t>IFERROR(
IF(Z2#="Start of Analytical Period", F2#/MAX(G2#, 1),
IF(Z2#="End of Analytical Period",Time-1+F2#/MAX(G2#, 1),
Z2#-YearOfRegistration+F2#/MAX(G2#, 1))),
"")</t>
  </si>
  <si>
    <t>IFERROR(
IF(Z2#="Start of Analytical Period", 0,
IF(Z2#="End of Analytical Period", Time-1,
Z2#-YearOfRegistration)),
"")</t>
  </si>
  <si>
    <t>IFERROR(
IF(Z2#="Start of Analytical Period", (YearOfRegistration-PVBaseYear)+$F$2#/$G$2#,
IF(Z2#="End of Analytical Period", (YearOfRegistration-PVBaseYear)+Time-1+$F$2#/$G$2#,
Z2#-PVBaseYear+$F$2#/$G$2#)),
"")</t>
  </si>
  <si>
    <t>LET(
FilteredStakeholders, FILTER(tbl_Stakeholders[Stakeholder Group], tbl_Stakeholders[Stakeholder Group]&lt;&gt;""),
IFERROR(MATCH(INDEX(tbl_Activities[Affected Stakeholder Group], $A$2#), FilteredStakeholders, 0), ""))</t>
  </si>
  <si>
    <t>IFERROR(LET(x, R2#*MAKEARRAY(ROWS(A2#),StakeholderCols,LAMBDA(r,c, LET(
OneGroup, NOT(INDEX(H2#, r)="All Groups"),
ThisGroup, IF(c=INDEX(AF2#, r), 1, 0),
IF(OneGroup, ThisGroup,
LET(
Stakeholder_Type, INDEX(AA2#, r),
AllBusinesses, Stakeholder_Type="All Businesses",
MedLargeBusinesses, Stakeholder_Type="Med/Large Businesses",
SmallBusinesses, Stakeholder_Type="Small Businesses",
NonBusinesseses, Stakeholder_Type="All Non-businesses",
Exp_SC, INDEX(AC2#, r),
nbC, INDEX(FILTER(tbl_Stakeholders[Non-business Count], tbl_Stakeholders[Stakeholder Group]&lt;&gt;""), c),
nbG, INDEX(FILTER(tbl_Stakeholders[Non-business Growth Rate], tbl_Stakeholders[Stakeholder Group]&lt;&gt;""), c),
sbC, INDEX(FILTER(tbl_Stakeholders[Small Business Count], tbl_Stakeholders[Stakeholder Group]&lt;&gt;""), c),
sbG, INDEX(FILTER(tbl_Stakeholders[Small Business Growth Rate], tbl_Stakeholders[Stakeholder Group]&lt;&gt;""), c),
mlbC, INDEX(FILTER(tbl_Stakeholders[Med/Large Business Count], tbl_Stakeholders[Stakeholder Group]&lt;&gt;""), c),
mlbG, INDEX(FILTER(tbl_Stakeholders[Med/Large Business Growth Rate], tbl_Stakeholders[Stakeholder Group]&lt;&gt;""), c),
Counts,
     IF(AllBusinesses, VSTACK(sbC, mlbC),
     IF(MedLargeBusinesses, mlbC,
     IF(SmallBusinesses, sbC,
     IF(NonBusinesseses, nbC,
     VSTACK(nbC, sbC, mlbC))))),
Growths,
     IF(AllBusinesses, VSTACK(sbG, mlbG),
     IF(MedLargeBusinesses, mlbG,
     IF(SmallBusinesses, sbG,
     IF(NonBusinesseses, nbG,
     VSTACK(nbG, sbG, mlbG))))),
StakeholderWeightDenominator,
     IF(AllBusinesses, SUMPRODUCT(tbl_Stakeholders[Small Business Count], (1+tbl_Stakeholders[Small Business Growth Rate])^Exp_SC) + SUMPRODUCT(tbl_Stakeholders[Med/Large Business Count], (1+tbl_Stakeholders[Med/Large Business Growth Rate])^Exp_SC),
     IF(MedLargeBusinesses, SUMPRODUCT(tbl_Stakeholders[Med/Large Business Count], (1+tbl_Stakeholders[Med/Large Business Growth Rate])^Exp_SC),
     IF(SmallBusinesses, SUMPRODUCT(tbl_Stakeholders[Small Business Count], (1+tbl_Stakeholders[Small Business Growth Rate])^Exp_SC),
     IF(NonBusinesseses, SUMPRODUCT(tbl_Stakeholders[Non-business Count], (1+tbl_Stakeholders[Non-business Growth Rate])^Exp_SC),
     SUM(SUMPRODUCT(tbl_Stakeholders[Non-business Count], (1+tbl_Stakeholders[Non-business Growth Rate])^INDEX(AC2#, r)), SUMPRODUCT(tbl_Stakeholders[Small Business Count], (1+tbl_Stakeholders[Small Business Growth Rate])^INDEX(AC2#, r)), SUMPRODUCT(tbl_Stakeholders[Med/Large Business Count], (1+tbl_Stakeholders[Med/Large Business Growth Rate])^INDEX(AC2#, r))))))),
SUM(Counts*(1+Growths)^Exp_SC)/StakeholderWeightDenominator))))),
HSTACK(x, x/(1+Discount)^AE2#)), 1)</t>
  </si>
  <si>
    <t>LET(
     AffectedNonBusinesses, TAKE(DROP(J:J,MATCH(J$1,J:J,0)),XMATCH(,DROP(J:J,MATCH(J$1,J:J,0)))-1),
IFERROR(M2#*AffectedNonBusinesses, 0))</t>
  </si>
  <si>
    <t>LET(
     AffectedSmallBusinesses, TAKE(DROP(K:K,MATCH(K$1,K:K,0)),XMATCH(,DROP(K:K,MATCH(K$1,K:K,0)))-1),
IFERROR(M2#*AffectedSmallBusinesses, 0))</t>
  </si>
  <si>
    <t>LET(
     AffectedMedLargeBusinesses, TAKE(DROP(L:L,MATCH(L$1,L:L,0)),XMATCH(,DROP(L:L,MATCH(L$1,L:L,0)))-1),
IFERROR(M2#*AffectedMedLargeBusinesses, 0))</t>
  </si>
  <si>
    <t>Note: enter the stakeholder information as of the start of the analytical period (i.e., at the date of registration).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</si>
</sst>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_-;\-* #,##0.00_-;_-* &quot;-&quot;??_-;_-@_-"/>
    <numFmt numFmtId="164" formatCode="_(&quot;$&quot;* #,##0.00_);_(&quot;$&quot;* \(#,##0.00\);_(&quot;$&quot;* &quot;-&quot;??_);_(@_)"/>
    <numFmt numFmtId="165" formatCode="_(* #,##0.00_);_(* \(#,##0.00\);_(* &quot;-&quot;??_);_(@_)"/>
    <numFmt numFmtId="166" formatCode="&quot;$&quot;#,##0"/>
    <numFmt numFmtId="167" formatCode="&quot;$&quot;#,##0.00"/>
    <numFmt numFmtId="168" formatCode="_-* #,##0.0000000000000_-;\-* #,##0.0000000000000_-;_-* &quot;-&quot;??_-;_-@_-"/>
    <numFmt numFmtId="169" formatCode="0.0"/>
    <numFmt numFmtId="170" formatCode="0.0000"/>
    <numFmt numFmtId="171" formatCode="_-* #,##0_-;\-* #,##0_-;_-* &quot;-&quot;??_-;_-@_-"/>
    <numFmt numFmtId="172" formatCode="0.0%"/>
  </numFmts>
  <fonts count="49" x14ac:knownFonts="1">
    <font>
      <sz val="11"/>
      <color theme="1"/>
      <name val="Calibri"/>
      <family val="2"/>
      <scheme val="minor"/>
    </font>
    <font>
      <sz val="11"/>
      <color theme="1"/>
      <name val="Calibri"/>
      <family val="2"/>
      <scheme val="minor"/>
    </font>
    <font>
      <b/>
      <u/>
      <sz val="11"/>
      <color theme="1"/>
      <name val="Calibri"/>
      <family val="2"/>
      <scheme val="minor"/>
    </font>
    <font>
      <sz val="8"/>
      <name val="Calibri"/>
      <family val="2"/>
      <scheme val="minor"/>
    </font>
    <font>
      <sz val="10"/>
      <name val="Arial"/>
      <family val="2"/>
    </font>
    <font>
      <b/>
      <sz val="11"/>
      <color rgb="FFFFFFFF"/>
      <name val="Calibri"/>
      <family val="2"/>
      <scheme val="minor"/>
    </font>
    <font>
      <b/>
      <sz val="11"/>
      <color rgb="FFCCDC00"/>
      <name val="Arial"/>
      <family val="2"/>
    </font>
    <font>
      <b/>
      <u/>
      <sz val="12"/>
      <color theme="1"/>
      <name val="Arial"/>
      <family val="2"/>
    </font>
    <font>
      <b/>
      <sz val="11"/>
      <color rgb="FF000000"/>
      <name val="Calibri"/>
      <family val="2"/>
      <scheme val="minor"/>
    </font>
    <font>
      <b/>
      <sz val="11"/>
      <color theme="0"/>
      <name val="Calibri"/>
      <family val="2"/>
      <scheme val="minor"/>
    </font>
    <font>
      <u/>
      <sz val="11"/>
      <color theme="10"/>
      <name val="Calibri"/>
      <family val="2"/>
      <scheme val="minor"/>
    </font>
    <font>
      <sz val="10"/>
      <color theme="1"/>
      <name val="Arial"/>
      <family val="2"/>
    </font>
    <font>
      <sz val="9"/>
      <color theme="1"/>
      <name val="Arial"/>
      <family val="2"/>
    </font>
    <font>
      <b/>
      <sz val="9"/>
      <color theme="1"/>
      <name val="Arial"/>
      <family val="2"/>
    </font>
    <font>
      <b/>
      <sz val="10"/>
      <color theme="1"/>
      <name val="Arial"/>
      <family val="2"/>
    </font>
    <font>
      <b/>
      <u/>
      <sz val="9"/>
      <color theme="1"/>
      <name val="Arial"/>
      <family val="2"/>
    </font>
    <font>
      <sz val="8"/>
      <color rgb="FF333333"/>
      <name val="Segoe UI"/>
      <family val="2"/>
    </font>
    <font>
      <sz val="11"/>
      <name val="Arial"/>
      <family val="2"/>
    </font>
    <font>
      <i/>
      <sz val="9"/>
      <color theme="1"/>
      <name val="Arial"/>
      <family val="2"/>
    </font>
    <font>
      <sz val="11"/>
      <color theme="1"/>
      <name val="Aptos"/>
      <family val="2"/>
    </font>
    <font>
      <sz val="14"/>
      <color theme="1"/>
      <name val="Arial"/>
      <family val="2"/>
    </font>
    <font>
      <sz val="11"/>
      <name val="Calibri"/>
      <family val="2"/>
      <scheme val="minor"/>
    </font>
    <font>
      <b/>
      <sz val="9"/>
      <color rgb="FFCCDC00"/>
      <name val="Arial"/>
      <family val="2"/>
    </font>
    <font>
      <sz val="9"/>
      <name val="Arial"/>
      <family val="2"/>
    </font>
    <font>
      <sz val="9"/>
      <color rgb="FFFF0000"/>
      <name val="Arial"/>
      <family val="2"/>
    </font>
    <font>
      <b/>
      <u/>
      <sz val="10"/>
      <color theme="1"/>
      <name val="Arial"/>
      <family val="2"/>
    </font>
    <font>
      <b/>
      <sz val="10"/>
      <color rgb="FFCCDC00"/>
      <name val="Arial"/>
      <family val="2"/>
    </font>
    <font>
      <b/>
      <u/>
      <sz val="9"/>
      <color theme="10"/>
      <name val="Arial"/>
      <family val="2"/>
    </font>
    <font>
      <sz val="11"/>
      <color theme="0"/>
      <name val="Calibri"/>
      <family val="2"/>
      <scheme val="minor"/>
    </font>
    <font>
      <i/>
      <sz val="10"/>
      <color theme="1"/>
      <name val="Arial"/>
      <family val="2"/>
    </font>
    <font>
      <sz val="9"/>
      <color theme="0" tint="-0.249977111117893"/>
      <name val="Arial"/>
      <family val="2"/>
    </font>
    <font>
      <b/>
      <sz val="11"/>
      <color theme="1"/>
      <name val="Calibri"/>
      <family val="2"/>
      <scheme val="minor"/>
    </font>
    <font>
      <sz val="11"/>
      <color rgb="FF000000"/>
      <name val="Calibri"/>
      <family val="2"/>
    </font>
    <font>
      <b/>
      <u/>
      <sz val="11"/>
      <color theme="10"/>
      <name val="Arial"/>
      <family val="2"/>
    </font>
    <font>
      <b/>
      <sz val="9"/>
      <name val="Arial"/>
      <family val="2"/>
    </font>
    <font>
      <u/>
      <sz val="9"/>
      <color theme="1"/>
      <name val="Arial"/>
      <family val="2"/>
    </font>
    <font>
      <sz val="10"/>
      <color rgb="FF000000"/>
      <name val="Arial"/>
      <family val="2"/>
    </font>
    <font>
      <u/>
      <sz val="10"/>
      <color theme="1"/>
      <name val="Arial"/>
      <family val="2"/>
    </font>
    <font>
      <sz val="10"/>
      <color rgb="FF0070C0"/>
      <name val="Arial"/>
      <family val="2"/>
    </font>
    <font>
      <sz val="10"/>
      <color rgb="FF4472C4"/>
      <name val="Arial"/>
      <family val="2"/>
    </font>
    <font>
      <b/>
      <sz val="10"/>
      <color rgb="FF000000"/>
      <name val="Arial"/>
      <family val="2"/>
    </font>
    <font>
      <sz val="10"/>
      <color theme="0"/>
      <name val="Arial"/>
      <family val="2"/>
    </font>
    <font>
      <sz val="10"/>
      <color theme="10"/>
      <name val="Arial"/>
      <family val="2"/>
    </font>
    <font>
      <u/>
      <sz val="10"/>
      <color theme="10"/>
      <name val="Arial"/>
      <family val="2"/>
    </font>
    <font>
      <u/>
      <sz val="10"/>
      <color rgb="FF0070C0"/>
      <name val="Arial"/>
      <family val="2"/>
    </font>
    <font>
      <sz val="10"/>
      <color theme="1"/>
      <name val="Calibri"/>
      <family val="2"/>
      <scheme val="minor"/>
    </font>
    <font>
      <i/>
      <sz val="11"/>
      <color theme="1"/>
      <name val="Calibri"/>
      <family val="2"/>
      <scheme val="minor"/>
    </font>
    <font>
      <b/>
      <sz val="9"/>
      <color rgb="FFC00000"/>
      <name val="Arial"/>
      <family val="2"/>
    </font>
    <font>
      <b/>
      <sz val="18"/>
      <color rgb="FFC00000"/>
      <name val="Arial"/>
      <family val="2"/>
    </font>
  </fonts>
  <fills count="17">
    <fill>
      <patternFill patternType="none"/>
    </fill>
    <fill>
      <patternFill patternType="gray125"/>
    </fill>
    <fill>
      <patternFill patternType="solid">
        <fgColor rgb="FF005172"/>
        <bgColor indexed="64"/>
      </patternFill>
    </fill>
    <fill>
      <patternFill patternType="solid">
        <fgColor rgb="FF000000"/>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9" tint="0.79998168889431442"/>
        <bgColor indexed="64"/>
      </patternFill>
    </fill>
    <fill>
      <patternFill patternType="solid">
        <fgColor theme="2"/>
        <bgColor indexed="64"/>
      </patternFill>
    </fill>
    <fill>
      <patternFill patternType="solid">
        <fgColor theme="2" tint="-9.9978637043366805E-2"/>
        <bgColor indexed="64"/>
      </patternFill>
    </fill>
    <fill>
      <patternFill patternType="solid">
        <fgColor theme="0" tint="-0.14999847407452621"/>
        <bgColor indexed="64"/>
      </patternFill>
    </fill>
    <fill>
      <patternFill patternType="solid">
        <fgColor rgb="FF00B0F0"/>
        <bgColor indexed="64"/>
      </patternFill>
    </fill>
    <fill>
      <patternFill patternType="solid">
        <fgColor theme="1"/>
        <bgColor indexed="64"/>
      </patternFill>
    </fill>
    <fill>
      <patternFill patternType="solid">
        <fgColor theme="0"/>
        <bgColor indexed="64"/>
      </patternFill>
    </fill>
    <fill>
      <patternFill patternType="solid">
        <fgColor rgb="FFFFFF00"/>
        <bgColor indexed="64"/>
      </patternFill>
    </fill>
    <fill>
      <patternFill patternType="solid">
        <fgColor rgb="FFFFC000"/>
        <bgColor indexed="64"/>
      </patternFill>
    </fill>
    <fill>
      <patternFill patternType="solid">
        <fgColor rgb="FF92D050"/>
        <bgColor indexed="64"/>
      </patternFill>
    </fill>
    <fill>
      <patternFill patternType="solid">
        <fgColor rgb="FFC000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ck">
        <color theme="0" tint="-0.14996795556505021"/>
      </left>
      <right style="thick">
        <color theme="0" tint="-0.34998626667073579"/>
      </right>
      <top style="thick">
        <color theme="0" tint="-0.14996795556505021"/>
      </top>
      <bottom style="thick">
        <color theme="0" tint="-0.34998626667073579"/>
      </bottom>
      <diagonal/>
    </border>
  </borders>
  <cellStyleXfs count="7">
    <xf numFmtId="0" fontId="0" fillId="0" borderId="0"/>
    <xf numFmtId="43" fontId="1" fillId="0" borderId="0" applyFont="0" applyFill="0" applyBorder="0" applyAlignment="0" applyProtection="0"/>
    <xf numFmtId="9" fontId="1" fillId="0" borderId="0" applyFont="0" applyFill="0" applyBorder="0" applyAlignment="0" applyProtection="0"/>
    <xf numFmtId="165" fontId="4" fillId="0" borderId="0" applyFont="0" applyFill="0" applyBorder="0" applyAlignment="0" applyProtection="0"/>
    <xf numFmtId="0" fontId="4" fillId="0" borderId="0"/>
    <xf numFmtId="0" fontId="10" fillId="0" borderId="0" applyNumberFormat="0" applyFill="0" applyBorder="0" applyAlignment="0" applyProtection="0"/>
    <xf numFmtId="164" fontId="4" fillId="0" borderId="0" applyFont="0" applyFill="0" applyBorder="0" applyAlignment="0" applyProtection="0"/>
  </cellStyleXfs>
  <cellXfs count="275">
    <xf numFmtId="0" fontId="0" fillId="0" borderId="0" xfId="0"/>
    <xf numFmtId="0" fontId="2" fillId="0" borderId="0" xfId="0" applyFont="1"/>
    <xf numFmtId="0" fontId="0" fillId="0" borderId="1" xfId="0" applyBorder="1"/>
    <xf numFmtId="167" fontId="0" fillId="0" borderId="0" xfId="0" applyNumberFormat="1"/>
    <xf numFmtId="0" fontId="5" fillId="3" borderId="0" xfId="0" applyFont="1" applyFill="1" applyAlignment="1">
      <alignment vertical="center" wrapText="1"/>
    </xf>
    <xf numFmtId="0" fontId="9" fillId="3" borderId="0" xfId="0" applyFont="1" applyFill="1" applyAlignment="1">
      <alignment vertical="center" wrapText="1"/>
    </xf>
    <xf numFmtId="2" fontId="0" fillId="0" borderId="0" xfId="0" applyNumberFormat="1"/>
    <xf numFmtId="0" fontId="0" fillId="0" borderId="0" xfId="0" applyAlignment="1">
      <alignment wrapText="1"/>
    </xf>
    <xf numFmtId="0" fontId="13" fillId="0" borderId="1" xfId="0" applyFont="1" applyBorder="1" applyAlignment="1">
      <alignment horizontal="right"/>
    </xf>
    <xf numFmtId="0" fontId="13" fillId="0" borderId="1" xfId="0" applyFont="1" applyBorder="1"/>
    <xf numFmtId="166" fontId="12" fillId="0" borderId="1" xfId="0" applyNumberFormat="1" applyFont="1" applyBorder="1" applyAlignment="1">
      <alignment horizontal="right" vertical="center"/>
    </xf>
    <xf numFmtId="0" fontId="7" fillId="0" borderId="0" xfId="0" applyFont="1" applyAlignment="1">
      <alignment vertical="center"/>
    </xf>
    <xf numFmtId="0" fontId="0" fillId="6" borderId="0" xfId="0" applyFill="1"/>
    <xf numFmtId="0" fontId="8" fillId="0" borderId="1" xfId="0" applyFont="1" applyBorder="1" applyAlignment="1">
      <alignment horizontal="center" vertical="center" wrapText="1"/>
    </xf>
    <xf numFmtId="0" fontId="12" fillId="0" borderId="0" xfId="0" applyFont="1"/>
    <xf numFmtId="168" fontId="0" fillId="0" borderId="0" xfId="1" applyNumberFormat="1" applyFont="1"/>
    <xf numFmtId="3" fontId="0" fillId="0" borderId="0" xfId="0" applyNumberFormat="1"/>
    <xf numFmtId="0" fontId="0" fillId="0" borderId="0" xfId="0" applyAlignment="1">
      <alignment vertical="center" wrapText="1"/>
    </xf>
    <xf numFmtId="0" fontId="0" fillId="7" borderId="0" xfId="0" applyFill="1"/>
    <xf numFmtId="0" fontId="12" fillId="0" borderId="0" xfId="0" applyFont="1" applyAlignment="1">
      <alignment vertical="top" wrapText="1"/>
    </xf>
    <xf numFmtId="0" fontId="17" fillId="0" borderId="1" xfId="4" applyFont="1" applyBorder="1" applyAlignment="1" applyProtection="1">
      <alignment horizontal="center" vertical="center" wrapText="1"/>
      <protection locked="0"/>
    </xf>
    <xf numFmtId="0" fontId="17" fillId="0" borderId="1" xfId="4" applyFont="1" applyBorder="1" applyAlignment="1" applyProtection="1">
      <alignment vertical="center" wrapText="1"/>
      <protection locked="0"/>
    </xf>
    <xf numFmtId="9" fontId="17" fillId="0" borderId="1" xfId="2" applyFont="1" applyBorder="1" applyAlignment="1" applyProtection="1">
      <alignment horizontal="center" vertical="center" wrapText="1"/>
      <protection locked="0"/>
    </xf>
    <xf numFmtId="0" fontId="6" fillId="2" borderId="12" xfId="4" applyFont="1" applyFill="1" applyBorder="1" applyAlignment="1" applyProtection="1">
      <alignment vertical="center"/>
      <protection hidden="1"/>
    </xf>
    <xf numFmtId="0" fontId="6" fillId="2" borderId="12" xfId="4" applyFont="1" applyFill="1" applyBorder="1" applyAlignment="1" applyProtection="1">
      <alignment horizontal="left" vertical="center" wrapText="1"/>
      <protection hidden="1"/>
    </xf>
    <xf numFmtId="0" fontId="17" fillId="0" borderId="0" xfId="4" applyFont="1"/>
    <xf numFmtId="0" fontId="6" fillId="0" borderId="0" xfId="4" applyFont="1" applyAlignment="1" applyProtection="1">
      <alignment horizontal="center" vertical="center"/>
      <protection hidden="1"/>
    </xf>
    <xf numFmtId="0" fontId="0" fillId="0" borderId="0" xfId="0" applyAlignment="1">
      <alignment horizontal="center" vertical="center"/>
    </xf>
    <xf numFmtId="0" fontId="13" fillId="0" borderId="0" xfId="0" applyFont="1" applyAlignment="1">
      <alignment horizontal="left" vertical="center" wrapText="1"/>
    </xf>
    <xf numFmtId="0" fontId="12" fillId="0" borderId="0" xfId="1" applyNumberFormat="1" applyFont="1" applyBorder="1"/>
    <xf numFmtId="0" fontId="18" fillId="0" borderId="0" xfId="0" applyFont="1" applyAlignment="1">
      <alignment horizontal="left" vertical="center" wrapText="1" indent="5"/>
    </xf>
    <xf numFmtId="0" fontId="13" fillId="0" borderId="0" xfId="0" applyFont="1" applyAlignment="1">
      <alignment vertical="top" wrapText="1"/>
    </xf>
    <xf numFmtId="0" fontId="12" fillId="0" borderId="0" xfId="0" applyFont="1" applyAlignment="1">
      <alignment wrapText="1"/>
    </xf>
    <xf numFmtId="0" fontId="7" fillId="0" borderId="0" xfId="0" applyFont="1" applyAlignment="1">
      <alignment wrapText="1"/>
    </xf>
    <xf numFmtId="0" fontId="15" fillId="0" borderId="0" xfId="0" applyFont="1" applyAlignment="1">
      <alignment wrapText="1"/>
    </xf>
    <xf numFmtId="0" fontId="13" fillId="0" borderId="0" xfId="0" applyFont="1" applyAlignment="1">
      <alignment horizontal="right" wrapText="1"/>
    </xf>
    <xf numFmtId="0" fontId="18" fillId="0" borderId="0" xfId="0" applyFont="1" applyAlignment="1">
      <alignment horizontal="left" vertical="center" wrapText="1"/>
    </xf>
    <xf numFmtId="0" fontId="13" fillId="0" borderId="1" xfId="0" applyFont="1" applyBorder="1" applyAlignment="1">
      <alignment wrapText="1"/>
    </xf>
    <xf numFmtId="0" fontId="12" fillId="0" borderId="1" xfId="0" applyFont="1" applyBorder="1" applyAlignment="1">
      <alignment wrapText="1"/>
    </xf>
    <xf numFmtId="0" fontId="12" fillId="0" borderId="0" xfId="0" applyFont="1" applyAlignment="1">
      <alignment horizontal="left" vertical="center" wrapText="1"/>
    </xf>
    <xf numFmtId="0" fontId="19" fillId="0" borderId="0" xfId="0" applyFont="1" applyAlignment="1">
      <alignment vertical="center"/>
    </xf>
    <xf numFmtId="0" fontId="0" fillId="0" borderId="0" xfId="0" applyAlignment="1">
      <alignment vertical="top" wrapText="1"/>
    </xf>
    <xf numFmtId="0" fontId="20" fillId="0" borderId="0" xfId="0" applyFont="1" applyAlignment="1">
      <alignment vertical="top" wrapText="1"/>
    </xf>
    <xf numFmtId="0" fontId="21" fillId="0" borderId="0" xfId="0" applyFont="1"/>
    <xf numFmtId="0" fontId="16" fillId="0" borderId="0" xfId="0" applyFont="1"/>
    <xf numFmtId="1" fontId="17" fillId="8" borderId="1" xfId="2" applyNumberFormat="1" applyFont="1" applyFill="1" applyBorder="1" applyAlignment="1" applyProtection="1">
      <alignment horizontal="center" vertical="center" wrapText="1"/>
      <protection locked="0"/>
    </xf>
    <xf numFmtId="0" fontId="22" fillId="2" borderId="2" xfId="4" applyFont="1" applyFill="1" applyBorder="1" applyAlignment="1" applyProtection="1">
      <alignment horizontal="center" vertical="center" wrapText="1"/>
      <protection hidden="1"/>
    </xf>
    <xf numFmtId="0" fontId="22" fillId="2" borderId="3" xfId="4" applyFont="1" applyFill="1" applyBorder="1" applyAlignment="1" applyProtection="1">
      <alignment horizontal="center" vertical="center" wrapText="1"/>
      <protection hidden="1"/>
    </xf>
    <xf numFmtId="0" fontId="22" fillId="2" borderId="4" xfId="4" applyFont="1" applyFill="1" applyBorder="1" applyAlignment="1" applyProtection="1">
      <alignment horizontal="center" vertical="center" wrapText="1"/>
      <protection hidden="1"/>
    </xf>
    <xf numFmtId="3" fontId="23" fillId="0" borderId="8" xfId="4" applyNumberFormat="1" applyFont="1" applyBorder="1" applyAlignment="1" applyProtection="1">
      <alignment horizontal="center" vertical="center" wrapText="1"/>
      <protection locked="0"/>
    </xf>
    <xf numFmtId="0" fontId="13" fillId="0" borderId="4" xfId="0" applyFont="1" applyBorder="1" applyAlignment="1">
      <alignment vertical="center"/>
    </xf>
    <xf numFmtId="0" fontId="13" fillId="0" borderId="4" xfId="0" applyFont="1" applyBorder="1" applyAlignment="1">
      <alignment horizontal="center" vertical="center" wrapText="1"/>
    </xf>
    <xf numFmtId="167" fontId="23" fillId="0" borderId="6" xfId="4" applyNumberFormat="1" applyFont="1" applyBorder="1"/>
    <xf numFmtId="0" fontId="13" fillId="0" borderId="0" xfId="0" applyFont="1"/>
    <xf numFmtId="0" fontId="12" fillId="0" borderId="0" xfId="0" applyFont="1" applyAlignment="1">
      <alignment horizontal="right"/>
    </xf>
    <xf numFmtId="0" fontId="12" fillId="0" borderId="0" xfId="0" applyFont="1" applyAlignment="1">
      <alignment horizontal="left"/>
    </xf>
    <xf numFmtId="0" fontId="15" fillId="0" borderId="0" xfId="0" applyFont="1" applyAlignment="1">
      <alignment vertical="center"/>
    </xf>
    <xf numFmtId="0" fontId="18" fillId="0" borderId="0" xfId="0" applyFont="1"/>
    <xf numFmtId="3" fontId="23" fillId="5" borderId="8" xfId="4" applyNumberFormat="1" applyFont="1" applyFill="1" applyBorder="1" applyAlignment="1" applyProtection="1">
      <alignment horizontal="center" vertical="center" wrapText="1"/>
      <protection locked="0"/>
    </xf>
    <xf numFmtId="0" fontId="12" fillId="0" borderId="0" xfId="0" applyFont="1" applyAlignment="1">
      <alignment vertical="center"/>
    </xf>
    <xf numFmtId="0" fontId="12" fillId="0" borderId="9" xfId="0" applyFont="1" applyBorder="1" applyAlignment="1">
      <alignment horizontal="right" vertical="center" wrapText="1"/>
    </xf>
    <xf numFmtId="0" fontId="12" fillId="0" borderId="10" xfId="0" applyFont="1" applyBorder="1" applyAlignment="1">
      <alignment horizontal="right" vertical="center" wrapText="1"/>
    </xf>
    <xf numFmtId="0" fontId="12" fillId="0" borderId="4" xfId="0" applyFont="1" applyBorder="1" applyAlignment="1">
      <alignment horizontal="right" vertical="center" wrapText="1"/>
    </xf>
    <xf numFmtId="167" fontId="12" fillId="0" borderId="7" xfId="0" applyNumberFormat="1" applyFont="1" applyBorder="1" applyAlignment="1">
      <alignment horizontal="right" vertical="center"/>
    </xf>
    <xf numFmtId="167" fontId="12" fillId="0" borderId="11" xfId="0" applyNumberFormat="1" applyFont="1" applyBorder="1" applyAlignment="1">
      <alignment horizontal="right"/>
    </xf>
    <xf numFmtId="167" fontId="12" fillId="0" borderId="2" xfId="0" applyNumberFormat="1" applyFont="1" applyBorder="1" applyAlignment="1">
      <alignment horizontal="right"/>
    </xf>
    <xf numFmtId="0" fontId="27" fillId="0" borderId="0" xfId="5" applyFont="1"/>
    <xf numFmtId="0" fontId="13" fillId="0" borderId="2" xfId="0" applyFont="1" applyBorder="1" applyAlignment="1">
      <alignment horizontal="right" vertical="center"/>
    </xf>
    <xf numFmtId="0" fontId="13" fillId="0" borderId="4" xfId="0" applyFont="1" applyBorder="1" applyAlignment="1">
      <alignment horizontal="right" vertical="center"/>
    </xf>
    <xf numFmtId="0" fontId="12" fillId="0" borderId="5" xfId="0" applyFont="1" applyBorder="1" applyAlignment="1">
      <alignment horizontal="right" vertical="center"/>
    </xf>
    <xf numFmtId="0" fontId="12" fillId="0" borderId="6" xfId="0" applyFont="1" applyBorder="1" applyAlignment="1">
      <alignment horizontal="right" vertical="center"/>
    </xf>
    <xf numFmtId="0" fontId="12" fillId="0" borderId="7" xfId="0" applyFont="1" applyBorder="1" applyAlignment="1">
      <alignment horizontal="right" vertical="center"/>
    </xf>
    <xf numFmtId="0" fontId="12" fillId="0" borderId="9" xfId="0" applyFont="1" applyBorder="1" applyAlignment="1">
      <alignment horizontal="right" vertical="center"/>
    </xf>
    <xf numFmtId="9" fontId="0" fillId="0" borderId="0" xfId="2" applyFont="1"/>
    <xf numFmtId="43" fontId="7" fillId="0" borderId="0" xfId="1" applyFont="1" applyAlignment="1">
      <alignment vertical="center"/>
    </xf>
    <xf numFmtId="43" fontId="11" fillId="0" borderId="0" xfId="1" applyFont="1"/>
    <xf numFmtId="0" fontId="26" fillId="2" borderId="0" xfId="1" applyNumberFormat="1" applyFont="1" applyFill="1"/>
    <xf numFmtId="0" fontId="14" fillId="0" borderId="0" xfId="1" applyNumberFormat="1" applyFont="1"/>
    <xf numFmtId="0" fontId="11" fillId="0" borderId="0" xfId="1" applyNumberFormat="1" applyFont="1"/>
    <xf numFmtId="0" fontId="13" fillId="9" borderId="4" xfId="0" applyFont="1" applyFill="1" applyBorder="1" applyAlignment="1">
      <alignment horizontal="center" vertical="center" wrapText="1"/>
    </xf>
    <xf numFmtId="167" fontId="12" fillId="9" borderId="6" xfId="0" applyNumberFormat="1" applyFont="1" applyFill="1" applyBorder="1"/>
    <xf numFmtId="167" fontId="12" fillId="9" borderId="9" xfId="0" applyNumberFormat="1" applyFont="1" applyFill="1" applyBorder="1"/>
    <xf numFmtId="0" fontId="23" fillId="9" borderId="1" xfId="4" applyFont="1" applyFill="1" applyBorder="1" applyAlignment="1">
      <alignment horizontal="center"/>
    </xf>
    <xf numFmtId="0" fontId="12" fillId="9" borderId="9" xfId="0" applyFont="1" applyFill="1" applyBorder="1" applyAlignment="1">
      <alignment horizontal="right" wrapText="1"/>
    </xf>
    <xf numFmtId="0" fontId="12" fillId="9" borderId="10" xfId="0" applyFont="1" applyFill="1" applyBorder="1" applyAlignment="1">
      <alignment horizontal="right" wrapText="1"/>
    </xf>
    <xf numFmtId="1" fontId="12" fillId="9" borderId="11" xfId="1" applyNumberFormat="1" applyFont="1" applyFill="1" applyBorder="1" applyAlignment="1">
      <alignment horizontal="right" vertical="center"/>
    </xf>
    <xf numFmtId="9" fontId="12" fillId="9" borderId="11" xfId="1" applyNumberFormat="1" applyFont="1" applyFill="1" applyBorder="1" applyAlignment="1">
      <alignment horizontal="right" vertical="center"/>
    </xf>
    <xf numFmtId="0" fontId="12" fillId="9" borderId="4" xfId="0" applyFont="1" applyFill="1" applyBorder="1" applyAlignment="1">
      <alignment horizontal="right" wrapText="1"/>
    </xf>
    <xf numFmtId="1" fontId="12" fillId="9" borderId="2" xfId="1" applyNumberFormat="1" applyFont="1" applyFill="1" applyBorder="1" applyAlignment="1">
      <alignment horizontal="right" vertical="center"/>
    </xf>
    <xf numFmtId="0" fontId="12" fillId="0" borderId="0" xfId="0" applyFont="1" applyAlignment="1">
      <alignment horizontal="center" vertical="center" wrapText="1"/>
    </xf>
    <xf numFmtId="0" fontId="12" fillId="0" borderId="0" xfId="0" applyFont="1" applyAlignment="1">
      <alignment horizontal="center"/>
    </xf>
    <xf numFmtId="0" fontId="5" fillId="0" borderId="0" xfId="0" applyFont="1" applyAlignment="1">
      <alignment vertical="center" wrapText="1"/>
    </xf>
    <xf numFmtId="0" fontId="20" fillId="0" borderId="0" xfId="0" applyFont="1" applyAlignment="1">
      <alignment vertical="center" wrapText="1"/>
    </xf>
    <xf numFmtId="166" fontId="0" fillId="0" borderId="0" xfId="0" applyNumberFormat="1"/>
    <xf numFmtId="169" fontId="0" fillId="0" borderId="0" xfId="0" applyNumberFormat="1"/>
    <xf numFmtId="10" fontId="23" fillId="0" borderId="8" xfId="2" applyNumberFormat="1" applyFont="1" applyFill="1" applyBorder="1" applyAlignment="1" applyProtection="1">
      <alignment horizontal="center" vertical="center" wrapText="1"/>
      <protection locked="0"/>
    </xf>
    <xf numFmtId="0" fontId="11" fillId="0" borderId="1" xfId="0" applyFont="1" applyBorder="1" applyAlignment="1">
      <alignment horizontal="left" vertical="top" wrapText="1"/>
    </xf>
    <xf numFmtId="0" fontId="31" fillId="0" borderId="0" xfId="0" applyFont="1"/>
    <xf numFmtId="0" fontId="0" fillId="0" borderId="14" xfId="0" applyBorder="1" applyAlignment="1">
      <alignment wrapText="1"/>
    </xf>
    <xf numFmtId="0" fontId="0" fillId="0" borderId="15" xfId="0" applyBorder="1" applyAlignment="1">
      <alignment wrapText="1"/>
    </xf>
    <xf numFmtId="0" fontId="31" fillId="0" borderId="13" xfId="0" applyFont="1" applyBorder="1" applyAlignment="1">
      <alignment wrapText="1"/>
    </xf>
    <xf numFmtId="0" fontId="0" fillId="0" borderId="13" xfId="0" applyBorder="1"/>
    <xf numFmtId="0" fontId="0" fillId="0" borderId="14" xfId="0" applyBorder="1"/>
    <xf numFmtId="0" fontId="32" fillId="0" borderId="0" xfId="0" applyFont="1" applyAlignment="1">
      <alignment vertical="center"/>
    </xf>
    <xf numFmtId="0" fontId="32" fillId="0" borderId="0" xfId="0" applyFont="1" applyAlignment="1">
      <alignment vertical="center" wrapText="1"/>
    </xf>
    <xf numFmtId="2" fontId="0" fillId="0" borderId="0" xfId="0" applyNumberFormat="1" applyAlignment="1">
      <alignment wrapText="1"/>
    </xf>
    <xf numFmtId="167" fontId="13" fillId="0" borderId="11" xfId="0" applyNumberFormat="1" applyFont="1" applyBorder="1" applyAlignment="1">
      <alignment horizontal="right"/>
    </xf>
    <xf numFmtId="0" fontId="33" fillId="0" borderId="0" xfId="5" applyFont="1"/>
    <xf numFmtId="0" fontId="9" fillId="3" borderId="0" xfId="0" applyFont="1" applyFill="1" applyAlignment="1">
      <alignment vertical="center"/>
    </xf>
    <xf numFmtId="0" fontId="28" fillId="11" borderId="0" xfId="0" applyFont="1" applyFill="1" applyAlignment="1">
      <alignment vertical="center"/>
    </xf>
    <xf numFmtId="0" fontId="31" fillId="0" borderId="0" xfId="0" applyFont="1" applyAlignment="1">
      <alignment vertical="center" wrapText="1"/>
    </xf>
    <xf numFmtId="0" fontId="31" fillId="0" borderId="0" xfId="0" applyFont="1" applyAlignment="1">
      <alignment vertical="center"/>
    </xf>
    <xf numFmtId="0" fontId="31" fillId="0" borderId="0" xfId="0" applyFont="1" applyAlignment="1">
      <alignment horizontal="right" vertical="center" wrapText="1"/>
    </xf>
    <xf numFmtId="0" fontId="12" fillId="0" borderId="0" xfId="0" applyFont="1" applyAlignment="1">
      <alignment horizontal="left" vertical="center" indent="1"/>
    </xf>
    <xf numFmtId="0" fontId="24" fillId="0" borderId="0" xfId="0" applyFont="1" applyAlignment="1">
      <alignment horizontal="left" indent="1"/>
    </xf>
    <xf numFmtId="0" fontId="12" fillId="0" borderId="0" xfId="0" applyFont="1" applyAlignment="1">
      <alignment horizontal="left" indent="1"/>
    </xf>
    <xf numFmtId="0" fontId="0" fillId="0" borderId="0" xfId="0" applyAlignment="1">
      <alignment horizontal="right" vertical="center"/>
    </xf>
    <xf numFmtId="166" fontId="30" fillId="4" borderId="8" xfId="0" applyNumberFormat="1" applyFont="1" applyFill="1" applyBorder="1" applyAlignment="1" applyProtection="1">
      <alignment horizontal="center" vertical="center" wrapText="1"/>
      <protection locked="0"/>
    </xf>
    <xf numFmtId="3" fontId="23" fillId="5" borderId="8" xfId="4" applyNumberFormat="1" applyFont="1" applyFill="1" applyBorder="1" applyAlignment="1">
      <alignment horizontal="center" vertical="center" wrapText="1"/>
    </xf>
    <xf numFmtId="3" fontId="34" fillId="12" borderId="7" xfId="4" applyNumberFormat="1" applyFont="1" applyFill="1" applyBorder="1" applyAlignment="1" applyProtection="1">
      <alignment horizontal="center" vertical="center" wrapText="1"/>
      <protection locked="0"/>
    </xf>
    <xf numFmtId="0" fontId="13" fillId="0" borderId="3" xfId="0" applyFont="1" applyBorder="1" applyAlignment="1">
      <alignment vertical="center"/>
    </xf>
    <xf numFmtId="0" fontId="23" fillId="9" borderId="3" xfId="4" applyFont="1" applyFill="1" applyBorder="1" applyAlignment="1">
      <alignment horizontal="center" wrapText="1"/>
    </xf>
    <xf numFmtId="0" fontId="23" fillId="9" borderId="5" xfId="4" applyFont="1" applyFill="1" applyBorder="1" applyAlignment="1">
      <alignment horizontal="left" vertical="center" wrapText="1"/>
    </xf>
    <xf numFmtId="0" fontId="23" fillId="9" borderId="7" xfId="4" applyFont="1" applyFill="1" applyBorder="1" applyAlignment="1">
      <alignment horizontal="left" vertical="center" wrapText="1"/>
    </xf>
    <xf numFmtId="0" fontId="23" fillId="0" borderId="5" xfId="4" applyFont="1" applyBorder="1" applyAlignment="1">
      <alignment horizontal="left" vertical="center" wrapText="1"/>
    </xf>
    <xf numFmtId="170" fontId="0" fillId="0" borderId="0" xfId="0" applyNumberFormat="1"/>
    <xf numFmtId="0" fontId="0" fillId="13" borderId="14" xfId="0" applyFill="1" applyBorder="1" applyAlignment="1">
      <alignment wrapText="1"/>
    </xf>
    <xf numFmtId="0" fontId="0" fillId="13" borderId="0" xfId="0" applyFill="1"/>
    <xf numFmtId="171" fontId="12" fillId="0" borderId="0" xfId="1" applyNumberFormat="1" applyFont="1" applyAlignment="1">
      <alignment vertical="center"/>
    </xf>
    <xf numFmtId="171" fontId="12" fillId="9" borderId="7" xfId="1" applyNumberFormat="1" applyFont="1" applyFill="1" applyBorder="1" applyAlignment="1">
      <alignment horizontal="right" vertical="center"/>
    </xf>
    <xf numFmtId="10" fontId="23" fillId="0" borderId="12" xfId="0" applyNumberFormat="1" applyFont="1" applyBorder="1" applyAlignment="1" applyProtection="1">
      <alignment vertical="center" wrapText="1"/>
      <protection locked="0"/>
    </xf>
    <xf numFmtId="0" fontId="11" fillId="0" borderId="0" xfId="0" applyFont="1" applyAlignment="1">
      <alignment horizontal="right"/>
    </xf>
    <xf numFmtId="1" fontId="23" fillId="0" borderId="8" xfId="1" applyNumberFormat="1" applyFont="1" applyFill="1" applyBorder="1" applyAlignment="1" applyProtection="1">
      <alignment horizontal="center" vertical="center" wrapText="1"/>
      <protection locked="0"/>
    </xf>
    <xf numFmtId="167" fontId="12" fillId="0" borderId="0" xfId="0" applyNumberFormat="1" applyFont="1"/>
    <xf numFmtId="0" fontId="35" fillId="0" borderId="0" xfId="0" applyFont="1"/>
    <xf numFmtId="1" fontId="12" fillId="0" borderId="0" xfId="0" applyNumberFormat="1" applyFont="1" applyAlignment="1">
      <alignment horizontal="right" vertical="center"/>
    </xf>
    <xf numFmtId="1" fontId="12" fillId="0" borderId="0" xfId="0" applyNumberFormat="1" applyFont="1" applyAlignment="1">
      <alignment horizontal="left" vertical="center" wrapText="1"/>
    </xf>
    <xf numFmtId="1" fontId="12" fillId="0" borderId="0" xfId="0" applyNumberFormat="1" applyFont="1" applyAlignment="1">
      <alignment horizontal="right" vertical="center" wrapText="1"/>
    </xf>
    <xf numFmtId="1" fontId="7" fillId="0" borderId="0" xfId="0" applyNumberFormat="1" applyFont="1" applyAlignment="1">
      <alignment vertical="center"/>
    </xf>
    <xf numFmtId="1" fontId="11" fillId="0" borderId="0" xfId="0" applyNumberFormat="1" applyFont="1" applyAlignment="1">
      <alignment horizontal="right" vertical="center"/>
    </xf>
    <xf numFmtId="1" fontId="37" fillId="0" borderId="0" xfId="0" applyNumberFormat="1" applyFont="1" applyAlignment="1">
      <alignment horizontal="left"/>
    </xf>
    <xf numFmtId="1" fontId="14" fillId="0" borderId="1" xfId="0" applyNumberFormat="1" applyFont="1" applyBorder="1" applyAlignment="1">
      <alignment horizontal="right" wrapText="1"/>
    </xf>
    <xf numFmtId="1" fontId="14" fillId="0" borderId="8" xfId="0" applyNumberFormat="1" applyFont="1" applyBorder="1" applyAlignment="1">
      <alignment horizontal="right" vertical="center"/>
    </xf>
    <xf numFmtId="1" fontId="14" fillId="0" borderId="1" xfId="0" applyNumberFormat="1" applyFont="1" applyBorder="1" applyAlignment="1">
      <alignment horizontal="right" vertical="center"/>
    </xf>
    <xf numFmtId="1" fontId="11" fillId="9" borderId="9" xfId="0" applyNumberFormat="1" applyFont="1" applyFill="1" applyBorder="1" applyAlignment="1">
      <alignment horizontal="right" vertical="center"/>
    </xf>
    <xf numFmtId="1" fontId="11" fillId="9" borderId="8" xfId="0" applyNumberFormat="1" applyFont="1" applyFill="1" applyBorder="1" applyAlignment="1">
      <alignment horizontal="right" vertical="center"/>
    </xf>
    <xf numFmtId="1" fontId="11" fillId="9" borderId="10" xfId="0" applyNumberFormat="1" applyFont="1" applyFill="1" applyBorder="1" applyAlignment="1">
      <alignment horizontal="right" vertical="center"/>
    </xf>
    <xf numFmtId="1" fontId="11" fillId="9" borderId="12" xfId="0" applyNumberFormat="1" applyFont="1" applyFill="1" applyBorder="1" applyAlignment="1">
      <alignment horizontal="right" vertical="center"/>
    </xf>
    <xf numFmtId="1" fontId="11" fillId="10" borderId="9" xfId="0" applyNumberFormat="1" applyFont="1" applyFill="1" applyBorder="1" applyAlignment="1">
      <alignment horizontal="right" vertical="center"/>
    </xf>
    <xf numFmtId="1" fontId="11" fillId="10" borderId="8" xfId="0" applyNumberFormat="1" applyFont="1" applyFill="1" applyBorder="1" applyAlignment="1">
      <alignment horizontal="right" vertical="center"/>
    </xf>
    <xf numFmtId="1" fontId="11" fillId="10" borderId="10" xfId="0" applyNumberFormat="1" applyFont="1" applyFill="1" applyBorder="1" applyAlignment="1">
      <alignment horizontal="right" vertical="center"/>
    </xf>
    <xf numFmtId="1" fontId="11" fillId="10" borderId="12" xfId="0" applyNumberFormat="1" applyFont="1" applyFill="1" applyBorder="1" applyAlignment="1">
      <alignment horizontal="right" vertical="center"/>
    </xf>
    <xf numFmtId="1" fontId="11" fillId="0" borderId="0" xfId="0" applyNumberFormat="1" applyFont="1" applyAlignment="1">
      <alignment horizontal="left" vertical="center"/>
    </xf>
    <xf numFmtId="1" fontId="11" fillId="10" borderId="4" xfId="0" applyNumberFormat="1" applyFont="1" applyFill="1" applyBorder="1" applyAlignment="1">
      <alignment horizontal="right" vertical="center"/>
    </xf>
    <xf numFmtId="1" fontId="11" fillId="10" borderId="3" xfId="0" applyNumberFormat="1" applyFont="1" applyFill="1" applyBorder="1" applyAlignment="1">
      <alignment horizontal="right" vertical="center"/>
    </xf>
    <xf numFmtId="1" fontId="29" fillId="0" borderId="0" xfId="0" applyNumberFormat="1" applyFont="1" applyAlignment="1">
      <alignment horizontal="left" vertical="center"/>
    </xf>
    <xf numFmtId="1" fontId="7" fillId="0" borderId="0" xfId="0" applyNumberFormat="1" applyFont="1" applyAlignment="1">
      <alignment horizontal="left"/>
    </xf>
    <xf numFmtId="1" fontId="25" fillId="0" borderId="0" xfId="0" applyNumberFormat="1" applyFont="1" applyAlignment="1">
      <alignment horizontal="left"/>
    </xf>
    <xf numFmtId="1" fontId="13" fillId="0" borderId="0" xfId="0" applyNumberFormat="1" applyFont="1" applyAlignment="1">
      <alignment horizontal="left" vertical="center" wrapText="1"/>
    </xf>
    <xf numFmtId="1" fontId="13" fillId="0" borderId="0" xfId="0" applyNumberFormat="1" applyFont="1" applyAlignment="1">
      <alignment horizontal="right" vertical="center"/>
    </xf>
    <xf numFmtId="1" fontId="13" fillId="0" borderId="0" xfId="0" applyNumberFormat="1" applyFont="1" applyAlignment="1">
      <alignment horizontal="right" vertical="center" wrapText="1"/>
    </xf>
    <xf numFmtId="1" fontId="7" fillId="0" borderId="0" xfId="0" applyNumberFormat="1" applyFont="1" applyAlignment="1">
      <alignment horizontal="left" vertical="center"/>
    </xf>
    <xf numFmtId="1" fontId="25" fillId="0" borderId="0" xfId="0" applyNumberFormat="1" applyFont="1" applyAlignment="1">
      <alignment horizontal="left" vertical="center"/>
    </xf>
    <xf numFmtId="1" fontId="14" fillId="0" borderId="6" xfId="0" applyNumberFormat="1" applyFont="1" applyBorder="1" applyAlignment="1">
      <alignment horizontal="right" vertical="center"/>
    </xf>
    <xf numFmtId="1" fontId="12" fillId="0" borderId="0" xfId="0" applyNumberFormat="1" applyFont="1" applyAlignment="1">
      <alignment horizontal="left" vertical="center"/>
    </xf>
    <xf numFmtId="1" fontId="13" fillId="0" borderId="0" xfId="0" applyNumberFormat="1" applyFont="1" applyAlignment="1">
      <alignment horizontal="left" vertical="center"/>
    </xf>
    <xf numFmtId="1" fontId="11" fillId="0" borderId="0" xfId="0" applyNumberFormat="1" applyFont="1" applyAlignment="1">
      <alignment horizontal="right" vertical="center" wrapText="1"/>
    </xf>
    <xf numFmtId="1" fontId="25" fillId="0" borderId="0" xfId="0" applyNumberFormat="1" applyFont="1" applyAlignment="1">
      <alignment horizontal="left" vertical="center" wrapText="1"/>
    </xf>
    <xf numFmtId="1" fontId="14" fillId="0" borderId="9" xfId="0" applyNumberFormat="1" applyFont="1" applyBorder="1" applyAlignment="1">
      <alignment horizontal="right" vertical="center" wrapText="1"/>
    </xf>
    <xf numFmtId="1" fontId="14" fillId="0" borderId="8" xfId="0" applyNumberFormat="1" applyFont="1" applyBorder="1" applyAlignment="1">
      <alignment horizontal="right" vertical="center" wrapText="1"/>
    </xf>
    <xf numFmtId="1" fontId="11" fillId="9" borderId="9" xfId="0" applyNumberFormat="1" applyFont="1" applyFill="1" applyBorder="1" applyAlignment="1">
      <alignment horizontal="right" vertical="center" wrapText="1"/>
    </xf>
    <xf numFmtId="1" fontId="11" fillId="9" borderId="8" xfId="0" applyNumberFormat="1" applyFont="1" applyFill="1" applyBorder="1" applyAlignment="1">
      <alignment horizontal="right" vertical="center" wrapText="1"/>
    </xf>
    <xf numFmtId="1" fontId="11" fillId="9" borderId="10" xfId="0" applyNumberFormat="1" applyFont="1" applyFill="1" applyBorder="1" applyAlignment="1">
      <alignment horizontal="right" vertical="center" wrapText="1"/>
    </xf>
    <xf numFmtId="1" fontId="11" fillId="9" borderId="12" xfId="0" applyNumberFormat="1" applyFont="1" applyFill="1" applyBorder="1" applyAlignment="1">
      <alignment horizontal="right" vertical="center" wrapText="1"/>
    </xf>
    <xf numFmtId="1" fontId="11" fillId="9" borderId="4" xfId="0" applyNumberFormat="1" applyFont="1" applyFill="1" applyBorder="1" applyAlignment="1">
      <alignment horizontal="right" vertical="center" wrapText="1"/>
    </xf>
    <xf numFmtId="1" fontId="11" fillId="10" borderId="10" xfId="0" applyNumberFormat="1" applyFont="1" applyFill="1" applyBorder="1" applyAlignment="1">
      <alignment horizontal="right" vertical="center" wrapText="1"/>
    </xf>
    <xf numFmtId="1" fontId="11" fillId="10" borderId="12" xfId="0" applyNumberFormat="1" applyFont="1" applyFill="1" applyBorder="1" applyAlignment="1">
      <alignment horizontal="right" vertical="center" wrapText="1"/>
    </xf>
    <xf numFmtId="1" fontId="12" fillId="0" borderId="0" xfId="1" applyNumberFormat="1" applyFont="1" applyAlignment="1">
      <alignment horizontal="right" vertical="center" wrapText="1"/>
    </xf>
    <xf numFmtId="1" fontId="11" fillId="14" borderId="9" xfId="0" applyNumberFormat="1" applyFont="1" applyFill="1" applyBorder="1" applyAlignment="1">
      <alignment horizontal="right" vertical="center" wrapText="1"/>
    </xf>
    <xf numFmtId="1" fontId="11" fillId="14" borderId="8" xfId="0" applyNumberFormat="1" applyFont="1" applyFill="1" applyBorder="1" applyAlignment="1">
      <alignment horizontal="right" vertical="center" wrapText="1"/>
    </xf>
    <xf numFmtId="1" fontId="11" fillId="14" borderId="10" xfId="0" applyNumberFormat="1" applyFont="1" applyFill="1" applyBorder="1" applyAlignment="1">
      <alignment horizontal="right" vertical="center" wrapText="1"/>
    </xf>
    <xf numFmtId="1" fontId="11" fillId="14" borderId="12" xfId="0" applyNumberFormat="1" applyFont="1" applyFill="1" applyBorder="1" applyAlignment="1">
      <alignment horizontal="right" vertical="center" wrapText="1"/>
    </xf>
    <xf numFmtId="1" fontId="11" fillId="14" borderId="4" xfId="0" applyNumberFormat="1" applyFont="1" applyFill="1" applyBorder="1" applyAlignment="1">
      <alignment horizontal="right" vertical="center" wrapText="1"/>
    </xf>
    <xf numFmtId="1" fontId="11" fillId="14" borderId="3" xfId="0" applyNumberFormat="1" applyFont="1" applyFill="1" applyBorder="1" applyAlignment="1">
      <alignment horizontal="right" vertical="center" wrapText="1"/>
    </xf>
    <xf numFmtId="1" fontId="11" fillId="0" borderId="0" xfId="0" applyNumberFormat="1" applyFont="1" applyAlignment="1">
      <alignment horizontal="left" vertical="center" wrapText="1"/>
    </xf>
    <xf numFmtId="1" fontId="7" fillId="0" borderId="0" xfId="0" applyNumberFormat="1" applyFont="1" applyAlignment="1">
      <alignment horizontal="left" vertical="center" wrapText="1"/>
    </xf>
    <xf numFmtId="1" fontId="14" fillId="0" borderId="1" xfId="0" applyNumberFormat="1" applyFont="1" applyBorder="1" applyAlignment="1">
      <alignment horizontal="right" vertical="center" wrapText="1"/>
    </xf>
    <xf numFmtId="1" fontId="11" fillId="10" borderId="4" xfId="0" applyNumberFormat="1" applyFont="1" applyFill="1" applyBorder="1" applyAlignment="1">
      <alignment horizontal="right" vertical="center" wrapText="1"/>
    </xf>
    <xf numFmtId="0" fontId="11" fillId="0" borderId="0" xfId="0" applyFont="1"/>
    <xf numFmtId="0" fontId="14" fillId="0" borderId="0" xfId="0" applyFont="1"/>
    <xf numFmtId="0" fontId="36" fillId="0" borderId="0" xfId="0" applyFont="1"/>
    <xf numFmtId="0" fontId="11" fillId="0" borderId="0" xfId="0" applyFont="1" applyAlignment="1">
      <alignment horizontal="left" vertical="center"/>
    </xf>
    <xf numFmtId="0" fontId="36" fillId="0" borderId="0" xfId="0" applyFont="1" applyAlignment="1">
      <alignment horizontal="left"/>
    </xf>
    <xf numFmtId="0" fontId="11" fillId="0" borderId="0" xfId="0" applyFont="1" applyAlignment="1">
      <alignment wrapText="1"/>
    </xf>
    <xf numFmtId="0" fontId="11" fillId="0" borderId="0" xfId="0" applyFont="1" applyAlignment="1">
      <alignment vertical="center"/>
    </xf>
    <xf numFmtId="0" fontId="38" fillId="0" borderId="0" xfId="0" applyFont="1" applyAlignment="1">
      <alignment vertical="center"/>
    </xf>
    <xf numFmtId="0" fontId="36" fillId="0" borderId="0" xfId="0" applyFont="1" applyAlignment="1">
      <alignment horizontal="left" vertical="center"/>
    </xf>
    <xf numFmtId="0" fontId="39" fillId="0" borderId="0" xfId="0" applyFont="1" applyAlignment="1">
      <alignment vertical="center"/>
    </xf>
    <xf numFmtId="0" fontId="42" fillId="0" borderId="0" xfId="5" applyFont="1" applyAlignment="1">
      <alignment vertical="center"/>
    </xf>
    <xf numFmtId="0" fontId="43" fillId="0" borderId="0" xfId="5" applyFont="1" applyAlignment="1">
      <alignment vertical="center"/>
    </xf>
    <xf numFmtId="0" fontId="11" fillId="10" borderId="1" xfId="0" applyFont="1" applyFill="1" applyBorder="1" applyAlignment="1">
      <alignment wrapText="1"/>
    </xf>
    <xf numFmtId="0" fontId="11" fillId="15" borderId="1" xfId="0" applyFont="1" applyFill="1" applyBorder="1" applyAlignment="1">
      <alignment wrapText="1"/>
    </xf>
    <xf numFmtId="0" fontId="11" fillId="13" borderId="1" xfId="0" applyFont="1" applyFill="1" applyBorder="1" applyAlignment="1">
      <alignment wrapText="1"/>
    </xf>
    <xf numFmtId="0" fontId="11" fillId="14" borderId="1" xfId="0" applyFont="1" applyFill="1" applyBorder="1" applyAlignment="1">
      <alignment wrapText="1"/>
    </xf>
    <xf numFmtId="0" fontId="11" fillId="16" borderId="1" xfId="0" applyFont="1" applyFill="1" applyBorder="1" applyAlignment="1">
      <alignment wrapText="1"/>
    </xf>
    <xf numFmtId="0" fontId="40" fillId="0" borderId="0" xfId="0" applyFont="1" applyAlignment="1">
      <alignment horizontal="right" wrapText="1"/>
    </xf>
    <xf numFmtId="0" fontId="14" fillId="0" borderId="0" xfId="0" applyFont="1" applyAlignment="1">
      <alignment horizontal="right" wrapText="1"/>
    </xf>
    <xf numFmtId="14" fontId="41" fillId="0" borderId="0" xfId="0" applyNumberFormat="1" applyFont="1" applyAlignment="1">
      <alignment horizontal="right" vertical="center" wrapText="1"/>
    </xf>
    <xf numFmtId="0" fontId="11" fillId="0" borderId="0" xfId="0" applyFont="1" applyAlignment="1">
      <alignment horizontal="right" wrapText="1"/>
    </xf>
    <xf numFmtId="14" fontId="11" fillId="0" borderId="0" xfId="0" applyNumberFormat="1" applyFont="1" applyAlignment="1">
      <alignment horizontal="left" vertical="center"/>
    </xf>
    <xf numFmtId="14" fontId="28" fillId="0" borderId="0" xfId="0" applyNumberFormat="1" applyFont="1"/>
    <xf numFmtId="0" fontId="44" fillId="0" borderId="0" xfId="0" applyFont="1" applyAlignment="1">
      <alignment horizontal="left" vertical="center"/>
    </xf>
    <xf numFmtId="0" fontId="14" fillId="4" borderId="16" xfId="0" applyFont="1" applyFill="1" applyBorder="1" applyAlignment="1">
      <alignment horizontal="center" wrapText="1"/>
    </xf>
    <xf numFmtId="1" fontId="45" fillId="0" borderId="0" xfId="0" applyNumberFormat="1" applyFont="1"/>
    <xf numFmtId="1" fontId="14" fillId="0" borderId="1" xfId="0" applyNumberFormat="1" applyFont="1" applyBorder="1" applyAlignment="1">
      <alignment horizontal="center" vertical="center"/>
    </xf>
    <xf numFmtId="1" fontId="14" fillId="0" borderId="5" xfId="0" applyNumberFormat="1" applyFont="1" applyBorder="1" applyAlignment="1">
      <alignment horizontal="center" vertical="center" wrapText="1"/>
    </xf>
    <xf numFmtId="0" fontId="12" fillId="0" borderId="2" xfId="0" applyFont="1" applyBorder="1" applyAlignment="1">
      <alignment horizontal="right" vertical="center"/>
    </xf>
    <xf numFmtId="0" fontId="12" fillId="0" borderId="4" xfId="0" applyFont="1" applyBorder="1" applyAlignment="1">
      <alignment horizontal="right" vertical="center"/>
    </xf>
    <xf numFmtId="0" fontId="12" fillId="0" borderId="0" xfId="0" applyFont="1" applyAlignment="1" applyProtection="1">
      <alignment horizontal="right" vertical="center"/>
      <protection locked="0"/>
    </xf>
    <xf numFmtId="0" fontId="7" fillId="0" borderId="0" xfId="0" applyFont="1" applyAlignment="1" applyProtection="1">
      <alignment wrapText="1"/>
      <protection locked="0"/>
    </xf>
    <xf numFmtId="0" fontId="12" fillId="0" borderId="0" xfId="0" applyFont="1" applyAlignment="1" applyProtection="1">
      <alignment wrapText="1"/>
      <protection locked="0"/>
    </xf>
    <xf numFmtId="0" fontId="24" fillId="0" borderId="0" xfId="0" applyFont="1" applyAlignment="1" applyProtection="1">
      <alignment wrapText="1"/>
      <protection locked="0"/>
    </xf>
    <xf numFmtId="0" fontId="15" fillId="0" borderId="0" xfId="0" applyFont="1" applyAlignment="1" applyProtection="1">
      <alignment wrapText="1"/>
      <protection locked="0"/>
    </xf>
    <xf numFmtId="0" fontId="22" fillId="0" borderId="0" xfId="5" applyFont="1" applyFill="1" applyBorder="1" applyAlignment="1" applyProtection="1">
      <alignment horizontal="center" vertical="center" wrapText="1"/>
      <protection locked="0"/>
    </xf>
    <xf numFmtId="0" fontId="18" fillId="0" borderId="0" xfId="0" applyFont="1" applyAlignment="1" applyProtection="1">
      <alignment wrapText="1"/>
      <protection locked="0"/>
    </xf>
    <xf numFmtId="0" fontId="12" fillId="0" borderId="0" xfId="0" applyFont="1" applyAlignment="1" applyProtection="1">
      <alignment horizontal="right" vertical="center" wrapText="1"/>
      <protection locked="0"/>
    </xf>
    <xf numFmtId="0" fontId="22" fillId="2" borderId="2" xfId="4" applyFont="1" applyFill="1" applyBorder="1" applyAlignment="1" applyProtection="1">
      <alignment horizontal="center" vertical="center" wrapText="1"/>
      <protection locked="0"/>
    </xf>
    <xf numFmtId="0" fontId="22" fillId="2" borderId="3" xfId="4" applyFont="1" applyFill="1" applyBorder="1" applyAlignment="1" applyProtection="1">
      <alignment horizontal="center" vertical="center" wrapText="1"/>
      <protection locked="0"/>
    </xf>
    <xf numFmtId="9" fontId="22" fillId="2" borderId="3" xfId="4" applyNumberFormat="1" applyFont="1" applyFill="1" applyBorder="1" applyAlignment="1" applyProtection="1">
      <alignment horizontal="center" vertical="center" wrapText="1"/>
      <protection locked="0"/>
    </xf>
    <xf numFmtId="0" fontId="22" fillId="2" borderId="4" xfId="4" applyFont="1" applyFill="1" applyBorder="1" applyAlignment="1" applyProtection="1">
      <alignment horizontal="center" vertical="center" wrapText="1"/>
      <protection locked="0"/>
    </xf>
    <xf numFmtId="0" fontId="22" fillId="2" borderId="3" xfId="4" applyFont="1" applyFill="1" applyBorder="1" applyAlignment="1">
      <alignment horizontal="center" vertical="center" wrapText="1"/>
    </xf>
    <xf numFmtId="0" fontId="12" fillId="0" borderId="1" xfId="0" applyFont="1" applyBorder="1" applyAlignment="1">
      <alignment horizontal="left" vertical="center" wrapText="1"/>
    </xf>
    <xf numFmtId="14" fontId="43" fillId="0" borderId="0" xfId="5" applyNumberFormat="1" applyFont="1" applyBorder="1" applyAlignment="1">
      <alignment horizontal="left" vertical="center"/>
    </xf>
    <xf numFmtId="0" fontId="23" fillId="0" borderId="8" xfId="4" applyFont="1" applyBorder="1" applyAlignment="1" applyProtection="1">
      <alignment horizontal="center" vertical="center" wrapText="1"/>
      <protection locked="0"/>
    </xf>
    <xf numFmtId="0" fontId="12" fillId="0" borderId="8" xfId="0" applyFont="1" applyBorder="1" applyAlignment="1" applyProtection="1">
      <alignment horizontal="center" vertical="center" wrapText="1"/>
      <protection locked="0"/>
    </xf>
    <xf numFmtId="0" fontId="30" fillId="4" borderId="8" xfId="0" applyFont="1" applyFill="1" applyBorder="1" applyAlignment="1" applyProtection="1">
      <alignment horizontal="center" vertical="center" wrapText="1"/>
      <protection locked="0"/>
    </xf>
    <xf numFmtId="2" fontId="23" fillId="0" borderId="8" xfId="0" applyNumberFormat="1" applyFont="1" applyBorder="1" applyAlignment="1" applyProtection="1">
      <alignment horizontal="center" vertical="center" wrapText="1"/>
      <protection locked="0"/>
    </xf>
    <xf numFmtId="0" fontId="12" fillId="0" borderId="6" xfId="0" applyFont="1" applyBorder="1" applyAlignment="1">
      <alignment horizontal="left" vertical="center" wrapText="1"/>
    </xf>
    <xf numFmtId="0" fontId="23" fillId="0" borderId="1" xfId="4" applyFont="1" applyBorder="1" applyAlignment="1">
      <alignment horizontal="center"/>
    </xf>
    <xf numFmtId="9" fontId="11" fillId="9" borderId="12" xfId="2" applyFont="1" applyFill="1" applyBorder="1" applyAlignment="1">
      <alignment horizontal="right" vertical="center"/>
    </xf>
    <xf numFmtId="171" fontId="11" fillId="9" borderId="12" xfId="1" applyNumberFormat="1" applyFont="1" applyFill="1" applyBorder="1" applyAlignment="1">
      <alignment horizontal="right" vertical="center"/>
    </xf>
    <xf numFmtId="9" fontId="11" fillId="9" borderId="3" xfId="2" applyFont="1" applyFill="1" applyBorder="1" applyAlignment="1">
      <alignment horizontal="right" vertical="center" wrapText="1"/>
    </xf>
    <xf numFmtId="172" fontId="23" fillId="0" borderId="8" xfId="0" applyNumberFormat="1" applyFont="1" applyBorder="1" applyAlignment="1" applyProtection="1">
      <alignment horizontal="center" vertical="center" wrapText="1"/>
      <protection locked="0"/>
    </xf>
    <xf numFmtId="0" fontId="12" fillId="0" borderId="0" xfId="0" applyFont="1" applyAlignment="1" applyProtection="1">
      <alignment vertical="center" wrapText="1"/>
      <protection locked="0"/>
    </xf>
    <xf numFmtId="0" fontId="9" fillId="11" borderId="0" xfId="0" applyFont="1" applyFill="1" applyAlignment="1">
      <alignment vertical="center" wrapText="1"/>
    </xf>
    <xf numFmtId="0" fontId="46" fillId="0" borderId="0" xfId="0" applyFont="1" applyAlignment="1">
      <alignment horizontal="center" vertical="center"/>
    </xf>
    <xf numFmtId="0" fontId="0" fillId="0" borderId="0" xfId="0" applyFill="1" applyAlignment="1">
      <alignment wrapText="1"/>
    </xf>
    <xf numFmtId="3" fontId="23" fillId="0" borderId="1" xfId="4" applyNumberFormat="1" applyFont="1" applyBorder="1" applyAlignment="1" applyProtection="1">
      <alignment horizontal="center" vertical="center" wrapText="1"/>
      <protection locked="0"/>
    </xf>
    <xf numFmtId="0" fontId="5" fillId="3" borderId="0" xfId="0" applyNumberFormat="1" applyFont="1" applyFill="1" applyAlignment="1">
      <alignment vertical="center" wrapText="1"/>
    </xf>
    <xf numFmtId="0" fontId="9" fillId="3" borderId="0" xfId="0" applyNumberFormat="1" applyFont="1" applyFill="1" applyAlignment="1">
      <alignment vertical="center" wrapText="1"/>
    </xf>
    <xf numFmtId="0" fontId="0" fillId="0" borderId="0" xfId="0" applyNumberFormat="1" applyAlignment="1">
      <alignment horizontal="center" vertical="center"/>
    </xf>
    <xf numFmtId="0" fontId="0" fillId="0" borderId="0" xfId="1" applyNumberFormat="1" applyFont="1" applyAlignment="1">
      <alignment horizontal="center" vertical="center"/>
    </xf>
    <xf numFmtId="0" fontId="0" fillId="0" borderId="0" xfId="0" applyNumberFormat="1" applyAlignment="1">
      <alignment horizontal="right" vertical="center"/>
    </xf>
    <xf numFmtId="0" fontId="5" fillId="3" borderId="0" xfId="0" applyNumberFormat="1" applyFont="1" applyFill="1" applyAlignment="1">
      <alignment horizontal="center" vertical="center" wrapText="1"/>
    </xf>
    <xf numFmtId="0" fontId="9" fillId="3" borderId="0" xfId="0" applyNumberFormat="1" applyFont="1" applyFill="1" applyAlignment="1">
      <alignment horizontal="center" vertical="center" wrapText="1"/>
    </xf>
    <xf numFmtId="0" fontId="0" fillId="0" borderId="0" xfId="2" applyNumberFormat="1" applyFont="1" applyAlignment="1">
      <alignment horizontal="center" vertical="center"/>
    </xf>
    <xf numFmtId="0" fontId="0" fillId="0" borderId="0" xfId="1" applyNumberFormat="1" applyFont="1" applyAlignment="1">
      <alignment horizontal="right" vertical="center"/>
    </xf>
    <xf numFmtId="0" fontId="0" fillId="0" borderId="0" xfId="0" applyAlignment="1">
      <alignment horizontal="left" vertical="center"/>
    </xf>
    <xf numFmtId="0" fontId="47" fillId="0" borderId="0" xfId="0" applyFont="1" applyAlignment="1" applyProtection="1">
      <alignment vertical="center"/>
      <protection locked="0"/>
    </xf>
    <xf numFmtId="0" fontId="48" fillId="0" borderId="0" xfId="0" applyFont="1" applyAlignment="1">
      <alignment wrapText="1"/>
    </xf>
    <xf numFmtId="0" fontId="29" fillId="0" borderId="0" xfId="0" applyFont="1" applyFill="1" applyAlignment="1">
      <alignment horizontal="left" vertical="center"/>
    </xf>
    <xf numFmtId="1" fontId="11" fillId="9" borderId="8" xfId="0" applyNumberFormat="1" applyFont="1" applyFill="1" applyBorder="1" applyAlignment="1">
      <alignment horizontal="center" vertical="center"/>
    </xf>
    <xf numFmtId="1" fontId="11" fillId="9" borderId="12" xfId="0" applyNumberFormat="1" applyFont="1" applyFill="1" applyBorder="1" applyAlignment="1">
      <alignment horizontal="center" vertical="center"/>
    </xf>
    <xf numFmtId="1" fontId="11" fillId="10" borderId="8" xfId="0" applyNumberFormat="1" applyFont="1" applyFill="1" applyBorder="1" applyAlignment="1">
      <alignment horizontal="center" vertical="center"/>
    </xf>
    <xf numFmtId="1" fontId="11" fillId="10" borderId="12" xfId="0" applyNumberFormat="1" applyFont="1" applyFill="1" applyBorder="1" applyAlignment="1">
      <alignment horizontal="center" vertical="center"/>
    </xf>
    <xf numFmtId="1" fontId="11" fillId="10" borderId="3" xfId="0" applyNumberFormat="1" applyFont="1" applyFill="1" applyBorder="1" applyAlignment="1">
      <alignment horizontal="center" vertical="center"/>
    </xf>
    <xf numFmtId="1" fontId="11" fillId="14" borderId="7" xfId="0" applyNumberFormat="1" applyFont="1" applyFill="1" applyBorder="1" applyAlignment="1">
      <alignment horizontal="center" vertical="center" wrapText="1"/>
    </xf>
    <xf numFmtId="1" fontId="11" fillId="14" borderId="11" xfId="0" applyNumberFormat="1" applyFont="1" applyFill="1" applyBorder="1" applyAlignment="1">
      <alignment horizontal="center" vertical="center" wrapText="1"/>
    </xf>
    <xf numFmtId="1" fontId="11" fillId="14" borderId="2" xfId="0" applyNumberFormat="1" applyFont="1" applyFill="1" applyBorder="1" applyAlignment="1">
      <alignment horizontal="center" vertical="center" wrapText="1"/>
    </xf>
    <xf numFmtId="1" fontId="11" fillId="9" borderId="7" xfId="0" applyNumberFormat="1" applyFont="1" applyFill="1" applyBorder="1" applyAlignment="1">
      <alignment horizontal="center" vertical="center" wrapText="1"/>
    </xf>
    <xf numFmtId="1" fontId="11" fillId="9" borderId="11" xfId="0" applyNumberFormat="1" applyFont="1" applyFill="1" applyBorder="1" applyAlignment="1">
      <alignment horizontal="center" vertical="center" wrapText="1"/>
    </xf>
    <xf numFmtId="1" fontId="11" fillId="9" borderId="2" xfId="0" applyNumberFormat="1" applyFont="1" applyFill="1" applyBorder="1" applyAlignment="1">
      <alignment horizontal="center" vertical="center" wrapText="1"/>
    </xf>
    <xf numFmtId="1" fontId="11" fillId="10" borderId="8" xfId="0" applyNumberFormat="1" applyFont="1" applyFill="1" applyBorder="1" applyAlignment="1">
      <alignment horizontal="center" vertical="center" wrapText="1"/>
    </xf>
    <xf numFmtId="1" fontId="11" fillId="10" borderId="12" xfId="0" applyNumberFormat="1" applyFont="1" applyFill="1" applyBorder="1" applyAlignment="1">
      <alignment horizontal="center" vertical="center" wrapText="1"/>
    </xf>
    <xf numFmtId="1" fontId="11" fillId="10" borderId="3" xfId="0" applyNumberFormat="1" applyFont="1" applyFill="1" applyBorder="1" applyAlignment="1">
      <alignment horizontal="center" vertical="center" wrapText="1"/>
    </xf>
  </cellXfs>
  <cellStyles count="7">
    <cellStyle name="Comma" xfId="1" builtinId="3"/>
    <cellStyle name="Comma 2" xfId="3" xr:uid="{635CBEC1-B31B-40A1-A0B1-EF63102257E2}"/>
    <cellStyle name="Currency 2" xfId="6" xr:uid="{31267C6D-D4C1-4DE1-ABAF-7DC2D5B407F6}"/>
    <cellStyle name="Hyperlink" xfId="5" builtinId="8"/>
    <cellStyle name="Normal" xfId="0" builtinId="0"/>
    <cellStyle name="Normal 2" xfId="4" xr:uid="{9C98A8C9-E231-48A0-BA1E-63031E755EC1}"/>
    <cellStyle name="Percent" xfId="2" builtinId="5"/>
  </cellStyles>
  <dxfs count="129">
    <dxf>
      <numFmt numFmtId="167" formatCode="&quot;$&quot;#,##0.00"/>
    </dxf>
    <dxf>
      <numFmt numFmtId="4" formatCode="#,##0.00"/>
    </dxf>
    <dxf>
      <numFmt numFmtId="14" formatCode="0.00%"/>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border>
        <left style="thin">
          <color auto="1"/>
        </left>
        <right style="thin">
          <color auto="1"/>
        </right>
        <top style="thin">
          <color auto="1"/>
        </top>
        <bottom style="thin">
          <color auto="1"/>
        </bottom>
        <vertical/>
        <horizontal/>
      </border>
    </dxf>
    <dxf>
      <font>
        <b/>
        <i val="0"/>
      </font>
      <border>
        <left/>
        <right/>
        <top/>
        <bottom/>
        <vertical/>
        <horizontal/>
      </border>
    </dxf>
    <dxf>
      <font>
        <color theme="0"/>
      </font>
      <fill>
        <patternFill>
          <bgColor rgb="FFC00000"/>
        </patternFill>
      </fill>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border>
        <left style="thin">
          <color auto="1"/>
        </left>
        <right style="thin">
          <color auto="1"/>
        </right>
        <top style="thin">
          <color auto="1"/>
        </top>
        <bottom style="thin">
          <color auto="1"/>
        </bottom>
        <vertical/>
        <horizontal/>
      </border>
    </dxf>
    <dxf>
      <font>
        <b/>
        <i val="0"/>
      </font>
      <border>
        <left/>
        <right/>
        <top/>
        <bottom/>
        <vertical/>
        <horizontal/>
      </border>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dxf>
    <dxf>
      <font>
        <b/>
        <i val="0"/>
      </font>
    </dxf>
    <dxf>
      <font>
        <b/>
        <i val="0"/>
      </font>
      <border>
        <left/>
        <right/>
        <top/>
        <bottom/>
      </border>
    </dxf>
    <dxf>
      <font>
        <b/>
        <i val="0"/>
      </font>
    </dxf>
    <dxf>
      <font>
        <b/>
        <i val="0"/>
      </font>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dxf>
    <dxf>
      <font>
        <b/>
        <i val="0"/>
      </font>
      <border>
        <left/>
        <right/>
        <top/>
        <bottom/>
      </border>
    </dxf>
    <dxf>
      <font>
        <b/>
        <i val="0"/>
      </font>
    </dxf>
    <dxf>
      <font>
        <b/>
        <i val="0"/>
      </font>
    </dxf>
    <dxf>
      <font>
        <b/>
        <i val="0"/>
      </font>
    </dxf>
    <dxf>
      <font>
        <b/>
        <i val="0"/>
      </font>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dxf>
    <dxf>
      <font>
        <b/>
        <i val="0"/>
      </font>
    </dxf>
    <dxf>
      <font>
        <b/>
        <i val="0"/>
      </font>
    </dxf>
    <dxf>
      <font>
        <b/>
        <i val="0"/>
      </font>
    </dxf>
    <dxf>
      <font>
        <b/>
        <i val="0"/>
      </font>
      <border>
        <left/>
        <right/>
        <top/>
        <bottom/>
      </border>
    </dxf>
    <dxf>
      <font>
        <b/>
        <i val="0"/>
      </font>
      <border>
        <left/>
        <right/>
        <top/>
        <bottom/>
      </border>
    </dxf>
    <dxf>
      <font>
        <b/>
        <i val="0"/>
      </font>
      <border>
        <left/>
        <right/>
        <top/>
        <bottom/>
      </border>
    </dxf>
    <dxf>
      <font>
        <b/>
        <i val="0"/>
      </font>
      <border>
        <left/>
        <right/>
        <top/>
        <bottom/>
      </border>
    </dxf>
    <dxf>
      <font>
        <b/>
        <i val="0"/>
      </font>
      <border>
        <left/>
        <right/>
        <top/>
        <bottom/>
      </border>
    </dxf>
    <dxf>
      <font>
        <b/>
        <i val="0"/>
      </font>
    </dxf>
    <dxf>
      <font>
        <b/>
        <i val="0"/>
      </font>
      <border>
        <left/>
        <right/>
        <top/>
        <bottom/>
        <vertical/>
        <horizontal/>
      </border>
    </dxf>
    <dxf>
      <font>
        <color theme="0"/>
      </font>
      <fill>
        <patternFill>
          <bgColor rgb="FFC00000"/>
        </patternFill>
      </fill>
    </dxf>
    <dxf>
      <font>
        <color rgb="FFCCDC00"/>
      </font>
      <fill>
        <patternFill>
          <bgColor rgb="FF005172"/>
        </patternFill>
      </fill>
      <border>
        <left style="thin">
          <color auto="1"/>
        </left>
        <right style="thin">
          <color auto="1"/>
        </right>
        <top style="thin">
          <color auto="1"/>
        </top>
        <bottom style="thin">
          <color auto="1"/>
        </bottom>
        <vertical/>
        <horizontal/>
      </border>
    </dxf>
    <dxf>
      <fill>
        <patternFill patternType="none">
          <bgColor auto="1"/>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right/>
        <top/>
        <bottom/>
        <vertical/>
        <horizontal/>
      </border>
    </dxf>
    <dxf>
      <font>
        <b/>
        <i val="0"/>
      </font>
      <border>
        <left/>
        <right/>
        <top/>
        <bottom/>
        <vertical/>
        <horizontal/>
      </border>
    </dxf>
    <dxf>
      <font>
        <b/>
        <i val="0"/>
      </font>
      <border>
        <left/>
        <right/>
        <top/>
        <bottom/>
        <vertical/>
        <horizontal/>
      </border>
    </dxf>
    <dxf>
      <font>
        <b/>
        <i val="0"/>
      </font>
    </dxf>
    <dxf>
      <font>
        <b/>
        <i val="0"/>
      </font>
      <border>
        <left/>
        <right/>
        <top/>
        <bottom/>
        <vertical/>
        <horizontal/>
      </border>
    </dxf>
    <dxf>
      <font>
        <b/>
        <i val="0"/>
      </font>
      <border>
        <left/>
        <right/>
        <top/>
        <bottom/>
        <vertical/>
        <horizontal/>
      </border>
    </dxf>
    <dxf>
      <font>
        <b/>
        <i val="0"/>
      </font>
      <border>
        <left/>
        <right/>
        <top/>
        <bottom/>
        <vertical/>
        <horizontal/>
      </border>
    </dxf>
    <dxf>
      <font>
        <b/>
        <i val="0"/>
      </font>
    </dxf>
    <dxf>
      <font>
        <b/>
        <i val="0"/>
      </font>
    </dxf>
    <dxf>
      <font>
        <b/>
        <i val="0"/>
      </font>
    </dxf>
    <dxf>
      <font>
        <b val="0"/>
        <i val="0"/>
      </font>
      <border>
        <left style="thin">
          <color auto="1"/>
        </left>
        <right style="thin">
          <color auto="1"/>
        </right>
        <top style="thin">
          <color auto="1"/>
        </top>
        <bottom style="thin">
          <color auto="1"/>
        </bottom>
      </border>
    </dxf>
    <dxf>
      <font>
        <color theme="0"/>
      </font>
      <fill>
        <patternFill>
          <bgColor rgb="FFC00000"/>
        </patternFill>
      </fill>
    </dxf>
    <dxf>
      <font>
        <color theme="0"/>
      </font>
      <fill>
        <patternFill>
          <bgColor rgb="FFC00000"/>
        </patternFill>
      </fill>
    </dxf>
    <dxf>
      <font>
        <color theme="0"/>
      </font>
      <fill>
        <patternFill>
          <bgColor theme="0" tint="-0.24994659260841701"/>
        </patternFill>
      </fill>
    </dxf>
    <dxf>
      <font>
        <color theme="0"/>
      </font>
      <fill>
        <patternFill>
          <bgColor rgb="FFC00000"/>
        </patternFill>
      </fill>
    </dxf>
    <dxf>
      <font>
        <color theme="1"/>
      </font>
      <fill>
        <patternFill>
          <bgColor rgb="FFFFC000"/>
        </patternFill>
      </fill>
    </dxf>
    <dxf>
      <font>
        <color theme="0" tint="-0.24994659260841701"/>
      </font>
      <fill>
        <patternFill patternType="solid">
          <bgColor theme="0" tint="-0.24994659260841701"/>
        </patternFill>
      </fill>
    </dxf>
    <dxf>
      <font>
        <color theme="1"/>
      </font>
      <fill>
        <patternFill patternType="none">
          <bgColor auto="1"/>
        </patternFill>
      </fill>
    </dxf>
    <dxf>
      <fill>
        <patternFill>
          <bgColor theme="0"/>
        </patternFill>
      </fill>
    </dxf>
    <dxf>
      <font>
        <strike val="0"/>
        <outline val="0"/>
        <shadow val="0"/>
        <vertAlign val="baseline"/>
        <sz val="9"/>
        <name val="Arial"/>
        <family val="2"/>
        <scheme val="none"/>
      </font>
      <alignment horizontal="right"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strike val="0"/>
        <outline val="0"/>
        <shadow val="0"/>
        <vertAlign val="baseline"/>
        <sz val="9"/>
        <name val="Arial"/>
        <family val="2"/>
        <scheme val="none"/>
      </font>
      <alignment horizontal="right" vertical="center" textRotation="0" wrapText="0" indent="0" justifyLastLine="0" shrinkToFit="0" readingOrder="0"/>
      <border diagonalUp="0" diagonalDown="0">
        <left/>
        <right style="thin">
          <color indexed="64"/>
        </right>
        <top style="thin">
          <color indexed="64"/>
        </top>
        <bottom style="thin">
          <color indexed="64"/>
        </bottom>
        <vertical/>
        <horizontal/>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9"/>
        <name val="Arial"/>
        <family val="2"/>
        <scheme val="none"/>
      </font>
      <alignment horizontal="right" vertical="center" textRotation="0" wrapText="0" indent="0" justifyLastLine="0" shrinkToFit="0" readingOrder="0"/>
    </dxf>
    <dxf>
      <border>
        <bottom style="thin">
          <color indexed="64"/>
        </bottom>
      </border>
    </dxf>
    <dxf>
      <font>
        <b/>
        <strike val="0"/>
        <outline val="0"/>
        <shadow val="0"/>
        <vertAlign val="baseline"/>
        <sz val="9"/>
        <name val="Arial"/>
        <family val="2"/>
        <scheme val="none"/>
      </font>
      <alignment horizontal="right" vertical="center" textRotation="0" wrapText="0" indent="0" justifyLastLine="0" shrinkToFit="0" readingOrder="0"/>
      <border diagonalUp="0" diagonalDown="0" outline="0">
        <left style="thin">
          <color indexed="64"/>
        </left>
        <right style="thin">
          <color indexed="64"/>
        </right>
        <top/>
        <bottom/>
      </border>
    </dxf>
    <dxf>
      <font>
        <strike val="0"/>
        <outline val="0"/>
        <shadow val="0"/>
        <u val="none"/>
        <vertAlign val="baseline"/>
        <sz val="9"/>
        <color theme="1"/>
        <name val="Arial"/>
        <family val="2"/>
        <scheme val="none"/>
      </font>
      <numFmt numFmtId="167" formatCode="&quot;$&quot;#,##0.00"/>
      <fill>
        <patternFill patternType="solid">
          <fgColor indexed="64"/>
          <bgColor theme="0" tint="-0.14999847407452621"/>
        </patternFill>
      </fill>
      <border diagonalUp="0" diagonalDown="0" outline="0">
        <left style="thin">
          <color indexed="64"/>
        </left>
        <right/>
        <top style="thin">
          <color indexed="64"/>
        </top>
        <bottom style="thin">
          <color indexed="64"/>
        </bottom>
      </border>
    </dxf>
    <dxf>
      <font>
        <strike val="0"/>
        <outline val="0"/>
        <shadow val="0"/>
        <u val="none"/>
        <vertAlign val="baseline"/>
        <sz val="9"/>
        <name val="Arial"/>
        <family val="2"/>
        <scheme val="none"/>
      </font>
      <numFmt numFmtId="167" formatCode="&quot;$&quot;#,##0.0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auto="1"/>
        <name val="Arial"/>
        <family val="2"/>
        <scheme val="none"/>
      </font>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fill>
        <patternFill patternType="solid">
          <fgColor indexed="64"/>
          <bgColor theme="0" tint="-0.14999847407452621"/>
        </patternFill>
      </fill>
      <alignment horizontal="center"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dxf>
    <dxf>
      <border>
        <bottom style="thin">
          <color indexed="64"/>
        </bottom>
      </border>
    </dxf>
    <dxf>
      <font>
        <b/>
        <strike val="0"/>
        <outline val="0"/>
        <shadow val="0"/>
        <u val="none"/>
        <vertAlign val="baseline"/>
        <sz val="9"/>
        <color theme="1"/>
        <name val="Arial"/>
        <family val="2"/>
        <scheme val="none"/>
      </font>
      <alignment vertical="center" textRotation="0" indent="0" justifyLastLine="0" shrinkToFit="0" readingOrder="0"/>
      <border diagonalUp="0" diagonalDown="0" outline="0">
        <left style="thin">
          <color indexed="64"/>
        </left>
        <right style="thin">
          <color indexed="64"/>
        </right>
        <top/>
        <bottom/>
      </border>
    </dxf>
    <dxf>
      <font>
        <strike val="0"/>
        <outline val="0"/>
        <shadow val="0"/>
        <u val="none"/>
        <vertAlign val="baseline"/>
        <sz val="9"/>
        <name val="Arial"/>
        <family val="2"/>
        <scheme val="none"/>
      </font>
      <alignment horizontal="left" vertical="center" textRotation="0" wrapText="1" indent="0" justifyLastLine="0" shrinkToFit="0" readingOrder="0"/>
      <border diagonalUp="0" diagonalDown="0">
        <left style="thin">
          <color indexed="64"/>
        </left>
        <right/>
        <top style="thin">
          <color indexed="64"/>
        </top>
        <bottom/>
        <vertical/>
        <horizontal/>
      </border>
      <protection locked="0" hidden="0"/>
    </dxf>
    <dxf>
      <font>
        <strike val="0"/>
        <outline val="0"/>
        <shadow val="0"/>
        <u val="none"/>
        <vertAlign val="baseline"/>
        <sz val="9"/>
        <name val="Arial"/>
        <family val="2"/>
        <scheme val="none"/>
      </font>
      <numFmt numFmtId="0" formatCode="General"/>
      <alignment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font>
        <b val="0"/>
        <i val="0"/>
        <strike val="0"/>
        <condense val="0"/>
        <extend val="0"/>
        <outline val="0"/>
        <shadow val="0"/>
        <u val="none"/>
        <vertAlign val="baseline"/>
        <sz val="9"/>
        <color theme="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1"/>
        <name val="Arial"/>
        <family val="2"/>
        <scheme val="none"/>
      </font>
      <numFmt numFmtId="0" formatCode="Genera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outline val="0"/>
        <shadow val="0"/>
        <u val="none"/>
        <vertAlign val="baseline"/>
        <sz val="9"/>
        <color auto="1"/>
        <name val="Arial"/>
        <family val="2"/>
        <scheme val="none"/>
      </font>
      <numFmt numFmtId="1"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auto="1"/>
        <name val="Arial"/>
        <family val="2"/>
        <scheme val="none"/>
      </font>
      <numFmt numFmtId="2"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0" tint="-0.249977111117893"/>
        <name val="Arial"/>
        <family val="2"/>
        <scheme val="none"/>
      </font>
      <numFmt numFmtId="0" formatCode="General"/>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0" tint="-0.249977111117893"/>
        <name val="Arial"/>
        <family val="2"/>
        <scheme val="none"/>
      </font>
      <numFmt numFmtId="166" formatCode="&quot;$&quot;#,##0"/>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0" tint="-0.249977111117893"/>
        <name val="Arial"/>
        <family val="2"/>
        <scheme val="none"/>
      </font>
      <numFmt numFmtId="0" formatCode="General"/>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1"/>
        <name val="Arial"/>
        <family val="2"/>
        <scheme val="none"/>
      </font>
      <numFmt numFmtId="0" formatCode="Genera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72" formatCode="0.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strike val="0"/>
        <outline val="0"/>
        <shadow val="0"/>
        <u val="none"/>
        <vertAlign val="baseline"/>
        <sz val="9"/>
        <color auto="1"/>
        <name val="Arial"/>
        <family val="2"/>
        <scheme val="none"/>
      </font>
      <numFmt numFmtId="3" formatCode="#,##0"/>
      <fill>
        <patternFill patternType="solid">
          <fgColor indexed="64"/>
          <bgColor theme="0"/>
        </patternFill>
      </fill>
      <alignment horizontal="center" vertical="center" textRotation="0" wrapText="1" indent="0" justifyLastLine="0" shrinkToFit="0" readingOrder="0"/>
      <border diagonalUp="0" diagonalDown="0">
        <left/>
        <right style="thin">
          <color indexed="64"/>
        </right>
        <top style="thin">
          <color indexed="64"/>
        </top>
        <bottom/>
        <vertical/>
        <horizontal/>
      </border>
      <protection locked="0" hidden="0"/>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textRotation="0" wrapText="1" indent="0" justifyLastLine="0" shrinkToFit="0" readingOrder="0"/>
      <protection locked="0" hidden="0"/>
    </dxf>
    <dxf>
      <border>
        <bottom style="thin">
          <color indexed="64"/>
        </bottom>
      </border>
    </dxf>
    <dxf>
      <font>
        <b/>
        <i val="0"/>
        <strike val="0"/>
        <condense val="0"/>
        <extend val="0"/>
        <outline val="0"/>
        <shadow val="0"/>
        <u val="none"/>
        <vertAlign val="baseline"/>
        <sz val="9"/>
        <color rgb="FFCCDC00"/>
        <name val="Arial"/>
        <family val="2"/>
        <scheme val="none"/>
      </font>
      <fill>
        <patternFill patternType="solid">
          <fgColor indexed="64"/>
          <bgColor rgb="FF005172"/>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auto="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vertAlign val="baseline"/>
        <sz val="9"/>
        <name val="Arial"/>
        <family val="2"/>
        <scheme val="none"/>
      </font>
      <numFmt numFmtId="3" formatCode="#,##0"/>
      <fill>
        <patternFill patternType="solid">
          <fgColor indexed="64"/>
          <bgColor theme="0" tint="-0.3499862666707357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solid">
          <fgColor indexed="64"/>
          <bgColor theme="0" tint="-0.3499862666707357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color auto="1"/>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vertAlign val="baseline"/>
        <sz val="9"/>
        <color auto="1"/>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vertAlign val="baseline"/>
        <sz val="9"/>
        <color auto="1"/>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vertAlign val="baseline"/>
        <sz val="9"/>
        <color auto="1"/>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9"/>
        <name val="Arial"/>
        <family val="2"/>
        <scheme val="none"/>
      </font>
      <alignment horizontal="center" vertical="center" textRotation="0" indent="0" justifyLastLine="0" shrinkToFit="0" readingOrder="0"/>
    </dxf>
    <dxf>
      <border>
        <bottom style="thin">
          <color indexed="64"/>
        </bottom>
      </border>
    </dxf>
    <dxf>
      <font>
        <b/>
        <i val="0"/>
        <strike val="0"/>
        <condense val="0"/>
        <extend val="0"/>
        <outline val="0"/>
        <shadow val="0"/>
        <u val="none"/>
        <vertAlign val="baseline"/>
        <sz val="9"/>
        <color rgb="FFCCDC00"/>
        <name val="Arial"/>
        <family val="2"/>
        <scheme val="none"/>
      </font>
      <fill>
        <patternFill patternType="solid">
          <fgColor indexed="64"/>
          <bgColor rgb="FF005172"/>
        </patternFill>
      </fill>
      <alignment horizontal="center" vertical="center" textRotation="0" wrapText="1" indent="0" justifyLastLine="0" shrinkToFit="0" readingOrder="0"/>
      <border diagonalUp="0" diagonalDown="0" outline="0">
        <left style="thin">
          <color indexed="64"/>
        </left>
        <right style="thin">
          <color indexed="64"/>
        </right>
        <top/>
        <bottom/>
      </border>
      <protection locked="1" hidden="1"/>
    </dxf>
    <dxf>
      <font>
        <strike val="0"/>
        <outline val="0"/>
        <shadow val="0"/>
        <u val="none"/>
        <vertAlign val="baseline"/>
        <sz val="11"/>
        <color theme="0"/>
        <name val="Calibri"/>
        <family val="2"/>
        <scheme val="minor"/>
      </font>
      <numFmt numFmtId="19" formatCode="yyyy/mm/dd"/>
    </dxf>
    <dxf>
      <font>
        <strike val="0"/>
        <outline val="0"/>
        <shadow val="0"/>
        <u val="none"/>
        <vertAlign val="baseline"/>
        <sz val="11"/>
        <color theme="0"/>
        <name val="Calibri"/>
        <family val="2"/>
        <scheme val="minor"/>
      </font>
      <alignment horizontal="right" vertical="center" textRotation="0" wrapText="1" indent="0" justifyLastLine="0" shrinkToFit="0" readingOrder="0"/>
    </dxf>
    <dxf>
      <border>
        <bottom style="thick">
          <color theme="0" tint="-0.34998626667073579"/>
        </bottom>
      </border>
    </dxf>
    <dxf>
      <font>
        <b/>
        <strike val="0"/>
        <outline val="0"/>
        <shadow val="0"/>
        <u val="none"/>
        <vertAlign val="baseline"/>
        <sz val="10"/>
        <color theme="1"/>
        <name val="Arial"/>
        <family val="2"/>
        <scheme val="none"/>
      </font>
      <fill>
        <patternFill patternType="solid">
          <fgColor indexed="64"/>
          <bgColor theme="0" tint="-0.249977111117893"/>
        </patternFill>
      </fill>
      <alignment horizontal="center" vertical="bottom" textRotation="0" wrapText="1" indent="0" justifyLastLine="0" shrinkToFit="0" readingOrder="0"/>
      <border diagonalUp="0" diagonalDown="0" outline="0">
        <left/>
        <right/>
        <top/>
        <bottom/>
      </border>
    </dxf>
  </dxfs>
  <tableStyles count="0" defaultTableStyle="TableStyleMedium2" defaultPivotStyle="PivotStyleLight16"/>
  <colors>
    <mruColors>
      <color rgb="FFFF3399"/>
      <color rgb="FF6F6F6F"/>
      <color rgb="FF686868"/>
      <color rgb="FF606060"/>
      <color rgb="FFFFFFFF"/>
      <color rgb="FFCCDC00"/>
      <color rgb="FF005172"/>
      <color rgb="FFFF5050"/>
      <color rgb="FFF4EE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onnections" Target="connections.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eetMetadata" Target="metadata.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 Id="rId27" Type="http://schemas.openxmlformats.org/officeDocument/2006/relationships/customXml" Target="../customXml/item5.xml"/></Relationships>
</file>

<file path=xl/drawings/_rels/drawing1.xml.rels><?xml version="1.0" encoding="UTF-8" standalone="yes"?>
<Relationships xmlns="http://schemas.openxmlformats.org/package/2006/relationships"><Relationship Id="rId2" Type="http://schemas.openxmlformats.org/officeDocument/2006/relationships/hyperlink" Target="#InitiativeDetailsLandi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hyperlink" Target="#StakeholderProfileLanding"/></Relationships>
</file>

<file path=xl/drawings/_rels/drawing3.xml.rels><?xml version="1.0" encoding="UTF-8" standalone="yes"?>
<Relationships xmlns="http://schemas.openxmlformats.org/package/2006/relationships"><Relationship Id="rId3" Type="http://schemas.openxmlformats.org/officeDocument/2006/relationships/hyperlink" Target="#AnnualStakeholderCounts"/><Relationship Id="rId2" Type="http://schemas.openxmlformats.org/officeDocument/2006/relationships/hyperlink" Target="#ActivityLanding"/><Relationship Id="rId1" Type="http://schemas.openxmlformats.org/officeDocument/2006/relationships/hyperlink" Target="#InitiativeDetailsLanding"/></Relationships>
</file>

<file path=xl/drawings/_rels/drawing4.xml.rels><?xml version="1.0" encoding="UTF-8" standalone="yes"?>
<Relationships xmlns="http://schemas.openxmlformats.org/package/2006/relationships"><Relationship Id="rId8" Type="http://schemas.openxmlformats.org/officeDocument/2006/relationships/image" Target="../media/image2.png"/><Relationship Id="rId3" Type="http://schemas.openxmlformats.org/officeDocument/2006/relationships/hyperlink" Target="#SBLLanding"/><Relationship Id="rId7" Type="http://schemas.openxmlformats.org/officeDocument/2006/relationships/hyperlink" Target="#Custom_Labour"/><Relationship Id="rId2" Type="http://schemas.openxmlformats.org/officeDocument/2006/relationships/hyperlink" Target="#OneForOneLanding"/><Relationship Id="rId1" Type="http://schemas.openxmlformats.org/officeDocument/2006/relationships/hyperlink" Target="#StakeholderProfileLanding"/><Relationship Id="rId6" Type="http://schemas.openxmlformats.org/officeDocument/2006/relationships/hyperlink" Target="#ImpactsByStakeholderLanding"/><Relationship Id="rId11" Type="http://schemas.openxmlformats.org/officeDocument/2006/relationships/hyperlink" Target="#CostBenefitStatementLanding"/><Relationship Id="rId5" Type="http://schemas.openxmlformats.org/officeDocument/2006/relationships/hyperlink" Target="#ImpactsByActivityLanding"/><Relationship Id="rId10" Type="http://schemas.openxmlformats.org/officeDocument/2006/relationships/hyperlink" Target="#ImpactByActivityAndStakeholderLanding"/><Relationship Id="rId4" Type="http://schemas.openxmlformats.org/officeDocument/2006/relationships/hyperlink" Target="#ImpactsLanding"/><Relationship Id="rId9" Type="http://schemas.openxmlformats.org/officeDocument/2006/relationships/image" Target="../media/image3.svg"/></Relationships>
</file>

<file path=xl/drawings/_rels/drawing5.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6.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7.xml.rels><?xml version="1.0" encoding="UTF-8" standalone="yes"?>
<Relationships xmlns="http://schemas.openxmlformats.org/package/2006/relationships"><Relationship Id="rId1" Type="http://schemas.openxmlformats.org/officeDocument/2006/relationships/hyperlink" Target="#StakeholderProfileLanding"/></Relationships>
</file>

<file path=xl/drawings/_rels/drawing8.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9.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0.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1.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2.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3.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5.xml.rels><?xml version="1.0" encoding="UTF-8" standalone="yes"?>
<Relationships xmlns="http://schemas.openxmlformats.org/package/2006/relationships"><Relationship Id="rId1" Type="http://schemas.openxmlformats.org/officeDocument/2006/relationships/hyperlink" Target="#FormulasLanding"/></Relationships>
</file>

<file path=xl/drawings/_rels/drawing16.xml.rels><?xml version="1.0" encoding="UTF-8" standalone="yes"?>
<Relationships xmlns="http://schemas.openxmlformats.org/package/2006/relationships"><Relationship Id="rId1" Type="http://schemas.openxmlformats.org/officeDocument/2006/relationships/hyperlink" Target="#FullOutputLandi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66675</xdr:rowOff>
    </xdr:from>
    <xdr:to>
      <xdr:col>15</xdr:col>
      <xdr:colOff>440966</xdr:colOff>
      <xdr:row>13</xdr:row>
      <xdr:rowOff>55244</xdr:rowOff>
    </xdr:to>
    <xdr:pic>
      <xdr:nvPicPr>
        <xdr:cNvPr id="7" name="Picture 6">
          <a:extLst>
            <a:ext uri="{FF2B5EF4-FFF2-40B4-BE49-F238E27FC236}">
              <a16:creationId xmlns:a16="http://schemas.microsoft.com/office/drawing/2014/main" id="{E369B93A-2FFF-B35A-4FC1-1F8A0287368C}"/>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5459" b="34290"/>
        <a:stretch/>
      </xdr:blipFill>
      <xdr:spPr bwMode="auto">
        <a:xfrm>
          <a:off x="0" y="66675"/>
          <a:ext cx="11737616" cy="20840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279684</xdr:colOff>
      <xdr:row>14</xdr:row>
      <xdr:rowOff>150478</xdr:rowOff>
    </xdr:from>
    <xdr:to>
      <xdr:col>15</xdr:col>
      <xdr:colOff>40556</xdr:colOff>
      <xdr:row>18</xdr:row>
      <xdr:rowOff>17581</xdr:rowOff>
    </xdr:to>
    <xdr:sp macro="" textlink="">
      <xdr:nvSpPr>
        <xdr:cNvPr id="23" name="Arrow: Right 22">
          <a:hlinkClick xmlns:r="http://schemas.openxmlformats.org/officeDocument/2006/relationships" r:id="rId2"/>
          <a:extLst>
            <a:ext uri="{FF2B5EF4-FFF2-40B4-BE49-F238E27FC236}">
              <a16:creationId xmlns:a16="http://schemas.microsoft.com/office/drawing/2014/main" id="{388B0E6F-F1FA-48AA-B362-4E2E1821DF4B}"/>
            </a:ext>
          </a:extLst>
        </xdr:cNvPr>
        <xdr:cNvSpPr/>
      </xdr:nvSpPr>
      <xdr:spPr>
        <a:xfrm rot="10800000" flipH="1" flipV="1">
          <a:off x="7512115" y="2449616"/>
          <a:ext cx="3426355" cy="537334"/>
        </a:xfrm>
        <a:prstGeom prst="righ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Get</a:t>
          </a:r>
          <a:r>
            <a:rPr lang="en-CA" sz="1000" b="1" baseline="0">
              <a:solidFill>
                <a:schemeClr val="tx1"/>
              </a:solidFill>
              <a:latin typeface="Arial" panose="020B0604020202020204" pitchFamily="34" charset="0"/>
              <a:cs typeface="Arial" panose="020B0604020202020204" pitchFamily="34" charset="0"/>
            </a:rPr>
            <a:t> Started:</a:t>
          </a:r>
          <a:r>
            <a:rPr lang="en-CA" sz="1000" b="1">
              <a:solidFill>
                <a:schemeClr val="tx1"/>
              </a:solidFill>
              <a:latin typeface="Arial" panose="020B0604020202020204" pitchFamily="34" charset="0"/>
              <a:cs typeface="Arial" panose="020B0604020202020204" pitchFamily="34" charset="0"/>
            </a:rPr>
            <a:t> Initiative Details</a:t>
          </a:r>
        </a:p>
      </xdr:txBody>
    </xdr:sp>
    <xdr:clientData/>
  </xdr:twoCellAnchor>
  <xdr:twoCellAnchor>
    <xdr:from>
      <xdr:col>0</xdr:col>
      <xdr:colOff>47624</xdr:colOff>
      <xdr:row>0</xdr:row>
      <xdr:rowOff>47625</xdr:rowOff>
    </xdr:from>
    <xdr:to>
      <xdr:col>15</xdr:col>
      <xdr:colOff>455543</xdr:colOff>
      <xdr:row>13</xdr:row>
      <xdr:rowOff>38100</xdr:rowOff>
    </xdr:to>
    <xdr:sp macro="" textlink="">
      <xdr:nvSpPr>
        <xdr:cNvPr id="24" name="Rectangle 23">
          <a:extLst>
            <a:ext uri="{FF2B5EF4-FFF2-40B4-BE49-F238E27FC236}">
              <a16:creationId xmlns:a16="http://schemas.microsoft.com/office/drawing/2014/main" id="{C4313702-C0E8-59CB-624D-910C26E3D095}"/>
            </a:ext>
          </a:extLst>
        </xdr:cNvPr>
        <xdr:cNvSpPr/>
      </xdr:nvSpPr>
      <xdr:spPr>
        <a:xfrm>
          <a:off x="47624" y="47625"/>
          <a:ext cx="11324397" cy="2143953"/>
        </a:xfrm>
        <a:prstGeom prst="rect">
          <a:avLst/>
        </a:prstGeom>
        <a:noFill/>
        <a:ln w="762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0</xdr:col>
      <xdr:colOff>47624</xdr:colOff>
      <xdr:row>13</xdr:row>
      <xdr:rowOff>38100</xdr:rowOff>
    </xdr:from>
    <xdr:to>
      <xdr:col>15</xdr:col>
      <xdr:colOff>455543</xdr:colOff>
      <xdr:row>54</xdr:row>
      <xdr:rowOff>38100</xdr:rowOff>
    </xdr:to>
    <xdr:sp macro="" textlink="">
      <xdr:nvSpPr>
        <xdr:cNvPr id="25" name="Rectangle 24">
          <a:extLst>
            <a:ext uri="{FF2B5EF4-FFF2-40B4-BE49-F238E27FC236}">
              <a16:creationId xmlns:a16="http://schemas.microsoft.com/office/drawing/2014/main" id="{4C6EE5CA-315C-42EB-A34B-0757067013EC}"/>
            </a:ext>
          </a:extLst>
        </xdr:cNvPr>
        <xdr:cNvSpPr/>
      </xdr:nvSpPr>
      <xdr:spPr>
        <a:xfrm>
          <a:off x="47624" y="2191578"/>
          <a:ext cx="11324397" cy="6700631"/>
        </a:xfrm>
        <a:prstGeom prst="rect">
          <a:avLst/>
        </a:prstGeom>
        <a:noFill/>
        <a:ln w="762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3</xdr:col>
      <xdr:colOff>1013373</xdr:colOff>
      <xdr:row>16</xdr:row>
      <xdr:rowOff>98528</xdr:rowOff>
    </xdr:from>
    <xdr:to>
      <xdr:col>4</xdr:col>
      <xdr:colOff>91806</xdr:colOff>
      <xdr:row>18</xdr:row>
      <xdr:rowOff>98261</xdr:rowOff>
    </xdr:to>
    <xdr:sp macro="" textlink="">
      <xdr:nvSpPr>
        <xdr:cNvPr id="28" name="Arrow: Right 27">
          <a:hlinkClick xmlns:r="http://schemas.openxmlformats.org/officeDocument/2006/relationships" r:id="rId1"/>
          <a:extLst>
            <a:ext uri="{FF2B5EF4-FFF2-40B4-BE49-F238E27FC236}">
              <a16:creationId xmlns:a16="http://schemas.microsoft.com/office/drawing/2014/main" id="{00000000-0008-0000-0100-00001C000000}"/>
            </a:ext>
          </a:extLst>
        </xdr:cNvPr>
        <xdr:cNvSpPr/>
      </xdr:nvSpPr>
      <xdr:spPr>
        <a:xfrm rot="10800000" flipH="1" flipV="1">
          <a:off x="4951448" y="4395622"/>
          <a:ext cx="2411890" cy="366079"/>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Next Step: Stakeholder Profile</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815760</xdr:colOff>
      <xdr:row>11</xdr:row>
      <xdr:rowOff>116417</xdr:rowOff>
    </xdr:from>
    <xdr:to>
      <xdr:col>2</xdr:col>
      <xdr:colOff>284842</xdr:colOff>
      <xdr:row>14</xdr:row>
      <xdr:rowOff>56091</xdr:rowOff>
    </xdr:to>
    <xdr:sp macro="" textlink="">
      <xdr:nvSpPr>
        <xdr:cNvPr id="18" name="Arrow: Left 17">
          <a:hlinkClick xmlns:r="http://schemas.openxmlformats.org/officeDocument/2006/relationships" r:id="rId1"/>
          <a:extLst>
            <a:ext uri="{FF2B5EF4-FFF2-40B4-BE49-F238E27FC236}">
              <a16:creationId xmlns:a16="http://schemas.microsoft.com/office/drawing/2014/main" id="{00000000-0008-0000-0200-000012000000}"/>
            </a:ext>
          </a:extLst>
        </xdr:cNvPr>
        <xdr:cNvSpPr/>
      </xdr:nvSpPr>
      <xdr:spPr>
        <a:xfrm rot="10800000" flipH="1" flipV="1">
          <a:off x="845097" y="1354667"/>
          <a:ext cx="2372077" cy="392430"/>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Previous Step: Initiative Details</a:t>
          </a:r>
        </a:p>
      </xdr:txBody>
    </xdr:sp>
    <xdr:clientData/>
  </xdr:twoCellAnchor>
  <xdr:twoCellAnchor editAs="absolute">
    <xdr:from>
      <xdr:col>9</xdr:col>
      <xdr:colOff>820959</xdr:colOff>
      <xdr:row>11</xdr:row>
      <xdr:rowOff>131724</xdr:rowOff>
    </xdr:from>
    <xdr:to>
      <xdr:col>10</xdr:col>
      <xdr:colOff>1770957</xdr:colOff>
      <xdr:row>14</xdr:row>
      <xdr:rowOff>60022</xdr:rowOff>
    </xdr:to>
    <xdr:sp macro="" textlink="">
      <xdr:nvSpPr>
        <xdr:cNvPr id="19" name="Arrow: Right 18">
          <a:hlinkClick xmlns:r="http://schemas.openxmlformats.org/officeDocument/2006/relationships" r:id="rId2"/>
          <a:extLst>
            <a:ext uri="{FF2B5EF4-FFF2-40B4-BE49-F238E27FC236}">
              <a16:creationId xmlns:a16="http://schemas.microsoft.com/office/drawing/2014/main" id="{00000000-0008-0000-0200-000013000000}"/>
            </a:ext>
          </a:extLst>
        </xdr:cNvPr>
        <xdr:cNvSpPr/>
      </xdr:nvSpPr>
      <xdr:spPr>
        <a:xfrm rot="10800000" flipH="1" flipV="1">
          <a:off x="11728019" y="1880947"/>
          <a:ext cx="2294106" cy="410176"/>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Next Step: Activities</a:t>
          </a:r>
        </a:p>
      </xdr:txBody>
    </xdr:sp>
    <xdr:clientData/>
  </xdr:twoCellAnchor>
  <xdr:twoCellAnchor editAs="absolute">
    <xdr:from>
      <xdr:col>5</xdr:col>
      <xdr:colOff>56712</xdr:colOff>
      <xdr:row>12</xdr:row>
      <xdr:rowOff>59575</xdr:rowOff>
    </xdr:from>
    <xdr:to>
      <xdr:col>7</xdr:col>
      <xdr:colOff>145869</xdr:colOff>
      <xdr:row>13</xdr:row>
      <xdr:rowOff>115808</xdr:rowOff>
    </xdr:to>
    <xdr:sp macro="" textlink="">
      <xdr:nvSpPr>
        <xdr:cNvPr id="21" name="Rectangle 20">
          <a:hlinkClick xmlns:r="http://schemas.openxmlformats.org/officeDocument/2006/relationships" r:id="rId3"/>
          <a:extLst>
            <a:ext uri="{FF2B5EF4-FFF2-40B4-BE49-F238E27FC236}">
              <a16:creationId xmlns:a16="http://schemas.microsoft.com/office/drawing/2014/main" id="{00000000-0008-0000-0200-000015000000}"/>
            </a:ext>
          </a:extLst>
        </xdr:cNvPr>
        <xdr:cNvSpPr/>
      </xdr:nvSpPr>
      <xdr:spPr>
        <a:xfrm rot="10800000" flipH="1" flipV="1">
          <a:off x="6446874" y="1965614"/>
          <a:ext cx="2323481" cy="219717"/>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View Annual Stakeholder Count</a:t>
          </a:r>
        </a:p>
      </xdr:txBody>
    </xdr:sp>
    <xdr:clientData/>
  </xdr:twoCellAnchor>
  <xdr:twoCellAnchor editAs="absolute">
    <xdr:from>
      <xdr:col>1</xdr:col>
      <xdr:colOff>95982</xdr:colOff>
      <xdr:row>2</xdr:row>
      <xdr:rowOff>151086</xdr:rowOff>
    </xdr:from>
    <xdr:to>
      <xdr:col>6</xdr:col>
      <xdr:colOff>97749</xdr:colOff>
      <xdr:row>7</xdr:row>
      <xdr:rowOff>93451</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85112" y="510886"/>
          <a:ext cx="6700252" cy="729289"/>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dk1"/>
              </a:solidFill>
              <a:effectLst/>
              <a:latin typeface="Arial" panose="020B0604020202020204" pitchFamily="34" charset="0"/>
              <a:ea typeface="+mn-ea"/>
              <a:cs typeface="Arial" panose="020B0604020202020204" pitchFamily="34" charset="0"/>
            </a:rPr>
            <a:t>To enter a new stakeholder</a:t>
          </a:r>
          <a:r>
            <a:rPr lang="en-CA" sz="1000" b="1" baseline="0">
              <a:solidFill>
                <a:schemeClr val="dk1"/>
              </a:solidFill>
              <a:effectLst/>
              <a:latin typeface="Arial" panose="020B0604020202020204" pitchFamily="34" charset="0"/>
              <a:ea typeface="+mn-ea"/>
              <a:cs typeface="Arial" panose="020B0604020202020204" pitchFamily="34" charset="0"/>
            </a:rPr>
            <a:t> group</a:t>
          </a:r>
          <a:r>
            <a:rPr lang="en-CA" sz="1000" b="1">
              <a:solidFill>
                <a:schemeClr val="dk1"/>
              </a:solidFill>
              <a:effectLst/>
              <a:latin typeface="Arial" panose="020B0604020202020204" pitchFamily="34" charset="0"/>
              <a:ea typeface="+mn-ea"/>
              <a:cs typeface="Arial" panose="020B0604020202020204" pitchFamily="34" charset="0"/>
            </a:rPr>
            <a:t>:   </a:t>
          </a:r>
          <a:r>
            <a:rPr lang="en-CA" sz="1000">
              <a:solidFill>
                <a:schemeClr val="dk1"/>
              </a:solidFill>
              <a:effectLst/>
              <a:latin typeface="Arial" panose="020B0604020202020204" pitchFamily="34" charset="0"/>
              <a:ea typeface="+mn-ea"/>
              <a:cs typeface="Arial" panose="020B0604020202020204" pitchFamily="34" charset="0"/>
            </a:rPr>
            <a:t>- enter text in the row immediately below the table;</a:t>
          </a:r>
          <a:r>
            <a:rPr lang="en-CA" sz="1000" baseline="0">
              <a:solidFill>
                <a:schemeClr val="dk1"/>
              </a:solidFill>
              <a:effectLst/>
              <a:latin typeface="Arial" panose="020B0604020202020204" pitchFamily="34" charset="0"/>
              <a:ea typeface="+mn-ea"/>
              <a:cs typeface="Arial" panose="020B0604020202020204" pitchFamily="34" charset="0"/>
            </a:rPr>
            <a:t>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press tab after selecting the bottom right cell of the table;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right click anywhere in the table ⯈ Insert ⯈ Table Rows (Above or Below)</a:t>
          </a:r>
        </a:p>
        <a:p>
          <a:endParaRPr lang="en-CA"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n-CA" sz="1100"/>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78606</xdr:colOff>
      <xdr:row>9</xdr:row>
      <xdr:rowOff>130299</xdr:rowOff>
    </xdr:from>
    <xdr:to>
      <xdr:col>2</xdr:col>
      <xdr:colOff>591742</xdr:colOff>
      <xdr:row>12</xdr:row>
      <xdr:rowOff>134309</xdr:rowOff>
    </xdr:to>
    <xdr:sp macro="" textlink="">
      <xdr:nvSpPr>
        <xdr:cNvPr id="4" name="Arrow: Left 3">
          <a:hlinkClick xmlns:r="http://schemas.openxmlformats.org/officeDocument/2006/relationships" r:id="rId1"/>
          <a:extLst>
            <a:ext uri="{FF2B5EF4-FFF2-40B4-BE49-F238E27FC236}">
              <a16:creationId xmlns:a16="http://schemas.microsoft.com/office/drawing/2014/main" id="{00000000-0008-0000-0300-000004000000}"/>
            </a:ext>
          </a:extLst>
        </xdr:cNvPr>
        <xdr:cNvSpPr/>
      </xdr:nvSpPr>
      <xdr:spPr>
        <a:xfrm rot="10800000" flipH="1" flipV="1">
          <a:off x="813664" y="1539047"/>
          <a:ext cx="2522931" cy="432000"/>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Previous Step: </a:t>
          </a:r>
          <a:r>
            <a:rPr lang="en-CA" sz="900" b="1">
              <a:solidFill>
                <a:schemeClr val="tx1"/>
              </a:solidFill>
              <a:latin typeface="Arial" panose="020B0604020202020204" pitchFamily="34" charset="0"/>
              <a:cs typeface="Arial" panose="020B0604020202020204" pitchFamily="34" charset="0"/>
            </a:rPr>
            <a:t>Stakeholder</a:t>
          </a:r>
          <a:r>
            <a:rPr lang="en-CA" sz="1000" b="1">
              <a:solidFill>
                <a:schemeClr val="tx1"/>
              </a:solidFill>
              <a:latin typeface="Arial" panose="020B0604020202020204" pitchFamily="34" charset="0"/>
              <a:cs typeface="Arial" panose="020B0604020202020204" pitchFamily="34" charset="0"/>
            </a:rPr>
            <a:t> Profile</a:t>
          </a:r>
        </a:p>
      </xdr:txBody>
    </xdr:sp>
    <xdr:clientData/>
  </xdr:twoCellAnchor>
  <xdr:twoCellAnchor editAs="absolute">
    <xdr:from>
      <xdr:col>2</xdr:col>
      <xdr:colOff>782392</xdr:colOff>
      <xdr:row>10</xdr:row>
      <xdr:rowOff>95992</xdr:rowOff>
    </xdr:from>
    <xdr:to>
      <xdr:col>5</xdr:col>
      <xdr:colOff>744608</xdr:colOff>
      <xdr:row>12</xdr:row>
      <xdr:rowOff>19822</xdr:rowOff>
    </xdr:to>
    <xdr:sp macro="" textlink="">
      <xdr:nvSpPr>
        <xdr:cNvPr id="10" name="Rectangle 9">
          <a:hlinkClick xmlns:r="http://schemas.openxmlformats.org/officeDocument/2006/relationships" r:id="rId2"/>
          <a:extLst>
            <a:ext uri="{FF2B5EF4-FFF2-40B4-BE49-F238E27FC236}">
              <a16:creationId xmlns:a16="http://schemas.microsoft.com/office/drawing/2014/main" id="{00000000-0008-0000-0300-00000A000000}"/>
            </a:ext>
          </a:extLst>
        </xdr:cNvPr>
        <xdr:cNvSpPr>
          <a:spLocks/>
        </xdr:cNvSpPr>
      </xdr:nvSpPr>
      <xdr:spPr>
        <a:xfrm rot="10800000" flipH="1" flipV="1">
          <a:off x="3629048" y="1711725"/>
          <a:ext cx="2160000" cy="223941"/>
        </a:xfrm>
        <a:prstGeom prst="rect">
          <a:avLst/>
        </a:prstGeom>
        <a:solidFill>
          <a:srgbClr val="92D05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One-for-one</a:t>
          </a:r>
          <a:endPar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endParaRPr>
        </a:p>
      </xdr:txBody>
    </xdr:sp>
    <xdr:clientData/>
  </xdr:twoCellAnchor>
  <xdr:twoCellAnchor editAs="absolute">
    <xdr:from>
      <xdr:col>5</xdr:col>
      <xdr:colOff>971119</xdr:colOff>
      <xdr:row>10</xdr:row>
      <xdr:rowOff>97386</xdr:rowOff>
    </xdr:from>
    <xdr:to>
      <xdr:col>7</xdr:col>
      <xdr:colOff>134281</xdr:colOff>
      <xdr:row>12</xdr:row>
      <xdr:rowOff>20055</xdr:rowOff>
    </xdr:to>
    <xdr:sp macro="" textlink="">
      <xdr:nvSpPr>
        <xdr:cNvPr id="11" name="Rectangle 10">
          <a:hlinkClick xmlns:r="http://schemas.openxmlformats.org/officeDocument/2006/relationships" r:id="rId3"/>
          <a:extLst>
            <a:ext uri="{FF2B5EF4-FFF2-40B4-BE49-F238E27FC236}">
              <a16:creationId xmlns:a16="http://schemas.microsoft.com/office/drawing/2014/main" id="{00000000-0008-0000-0300-00000B000000}"/>
            </a:ext>
          </a:extLst>
        </xdr:cNvPr>
        <xdr:cNvSpPr/>
      </xdr:nvSpPr>
      <xdr:spPr>
        <a:xfrm rot="10800000" flipH="1" flipV="1">
          <a:off x="6015559" y="1705499"/>
          <a:ext cx="2167200" cy="230400"/>
        </a:xfrm>
        <a:prstGeom prst="rect">
          <a:avLst/>
        </a:prstGeom>
        <a:solidFill>
          <a:srgbClr val="92D05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Small Business Lens</a:t>
          </a:r>
        </a:p>
      </xdr:txBody>
    </xdr:sp>
    <xdr:clientData/>
  </xdr:twoCellAnchor>
  <xdr:twoCellAnchor editAs="absolute">
    <xdr:from>
      <xdr:col>7</xdr:col>
      <xdr:colOff>320258</xdr:colOff>
      <xdr:row>10</xdr:row>
      <xdr:rowOff>94046</xdr:rowOff>
    </xdr:from>
    <xdr:to>
      <xdr:col>9</xdr:col>
      <xdr:colOff>663054</xdr:colOff>
      <xdr:row>12</xdr:row>
      <xdr:rowOff>16715</xdr:rowOff>
    </xdr:to>
    <xdr:sp macro="" textlink="">
      <xdr:nvSpPr>
        <xdr:cNvPr id="12" name="Rectangle 11">
          <a:hlinkClick xmlns:r="http://schemas.openxmlformats.org/officeDocument/2006/relationships" r:id="rId4"/>
          <a:extLst>
            <a:ext uri="{FF2B5EF4-FFF2-40B4-BE49-F238E27FC236}">
              <a16:creationId xmlns:a16="http://schemas.microsoft.com/office/drawing/2014/main" id="{00000000-0008-0000-0300-00000C000000}"/>
            </a:ext>
          </a:extLst>
        </xdr:cNvPr>
        <xdr:cNvSpPr/>
      </xdr:nvSpPr>
      <xdr:spPr>
        <a:xfrm rot="10800000" flipH="1" flipV="1">
          <a:off x="8376356" y="1709779"/>
          <a:ext cx="2167200" cy="230400"/>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a:t>
          </a:r>
        </a:p>
      </xdr:txBody>
    </xdr:sp>
    <xdr:clientData/>
  </xdr:twoCellAnchor>
  <xdr:twoCellAnchor editAs="absolute">
    <xdr:from>
      <xdr:col>10</xdr:col>
      <xdr:colOff>136240</xdr:colOff>
      <xdr:row>10</xdr:row>
      <xdr:rowOff>93866</xdr:rowOff>
    </xdr:from>
    <xdr:to>
      <xdr:col>12</xdr:col>
      <xdr:colOff>594069</xdr:colOff>
      <xdr:row>12</xdr:row>
      <xdr:rowOff>22250</xdr:rowOff>
    </xdr:to>
    <xdr:sp macro="" textlink="">
      <xdr:nvSpPr>
        <xdr:cNvPr id="13" name="Rectangle 12">
          <a:hlinkClick xmlns:r="http://schemas.openxmlformats.org/officeDocument/2006/relationships" r:id="rId5"/>
          <a:extLst>
            <a:ext uri="{FF2B5EF4-FFF2-40B4-BE49-F238E27FC236}">
              <a16:creationId xmlns:a16="http://schemas.microsoft.com/office/drawing/2014/main" id="{00000000-0008-0000-0300-00000D000000}"/>
            </a:ext>
          </a:extLst>
        </xdr:cNvPr>
        <xdr:cNvSpPr/>
      </xdr:nvSpPr>
      <xdr:spPr>
        <a:xfrm rot="10800000" flipH="1" flipV="1">
          <a:off x="10705180" y="1709599"/>
          <a:ext cx="2172915" cy="228495"/>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 by Activity</a:t>
          </a:r>
        </a:p>
      </xdr:txBody>
    </xdr:sp>
    <xdr:clientData/>
  </xdr:twoCellAnchor>
  <xdr:twoCellAnchor editAs="absolute">
    <xdr:from>
      <xdr:col>12</xdr:col>
      <xdr:colOff>817715</xdr:colOff>
      <xdr:row>10</xdr:row>
      <xdr:rowOff>91963</xdr:rowOff>
    </xdr:from>
    <xdr:to>
      <xdr:col>16</xdr:col>
      <xdr:colOff>135455</xdr:colOff>
      <xdr:row>12</xdr:row>
      <xdr:rowOff>16021</xdr:rowOff>
    </xdr:to>
    <xdr:sp macro="" textlink="">
      <xdr:nvSpPr>
        <xdr:cNvPr id="14" name="Rectangle 13">
          <a:hlinkClick xmlns:r="http://schemas.openxmlformats.org/officeDocument/2006/relationships" r:id="rId6"/>
          <a:extLst>
            <a:ext uri="{FF2B5EF4-FFF2-40B4-BE49-F238E27FC236}">
              <a16:creationId xmlns:a16="http://schemas.microsoft.com/office/drawing/2014/main" id="{00000000-0008-0000-0300-00000E000000}"/>
            </a:ext>
          </a:extLst>
        </xdr:cNvPr>
        <xdr:cNvSpPr/>
      </xdr:nvSpPr>
      <xdr:spPr>
        <a:xfrm rot="10800000" flipH="1" flipV="1">
          <a:off x="13101741" y="1707696"/>
          <a:ext cx="2160000" cy="231789"/>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 by Stakeholder</a:t>
          </a:r>
        </a:p>
      </xdr:txBody>
    </xdr:sp>
    <xdr:clientData/>
  </xdr:twoCellAnchor>
  <xdr:twoCellAnchor editAs="absolute">
    <xdr:from>
      <xdr:col>20</xdr:col>
      <xdr:colOff>437706</xdr:colOff>
      <xdr:row>10</xdr:row>
      <xdr:rowOff>92127</xdr:rowOff>
    </xdr:from>
    <xdr:to>
      <xdr:col>20</xdr:col>
      <xdr:colOff>2609754</xdr:colOff>
      <xdr:row>12</xdr:row>
      <xdr:rowOff>16131</xdr:rowOff>
    </xdr:to>
    <xdr:sp macro="" textlink="">
      <xdr:nvSpPr>
        <xdr:cNvPr id="15" name="Rectangle 14">
          <a:hlinkClick xmlns:r="http://schemas.openxmlformats.org/officeDocument/2006/relationships" r:id="rId7"/>
          <a:extLst>
            <a:ext uri="{FF2B5EF4-FFF2-40B4-BE49-F238E27FC236}">
              <a16:creationId xmlns:a16="http://schemas.microsoft.com/office/drawing/2014/main" id="{00000000-0008-0000-0300-00000F000000}"/>
            </a:ext>
          </a:extLst>
        </xdr:cNvPr>
        <xdr:cNvSpPr/>
      </xdr:nvSpPr>
      <xdr:spPr>
        <a:xfrm rot="10800000" flipH="1" flipV="1">
          <a:off x="19871773" y="1719328"/>
          <a:ext cx="2138400" cy="224083"/>
        </a:xfrm>
        <a:prstGeom prst="rect">
          <a:avLst/>
        </a:prstGeom>
        <a:solidFill>
          <a:srgbClr val="FFC0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r"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Add Custom Wage(s)</a:t>
          </a:r>
        </a:p>
      </xdr:txBody>
    </xdr:sp>
    <xdr:clientData/>
  </xdr:twoCellAnchor>
  <xdr:twoCellAnchor editAs="absolute">
    <xdr:from>
      <xdr:col>1</xdr:col>
      <xdr:colOff>19016</xdr:colOff>
      <xdr:row>3</xdr:row>
      <xdr:rowOff>93932</xdr:rowOff>
    </xdr:from>
    <xdr:to>
      <xdr:col>6</xdr:col>
      <xdr:colOff>479575</xdr:colOff>
      <xdr:row>8</xdr:row>
      <xdr:rowOff>21492</xdr:rowOff>
    </xdr:to>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812953" y="607722"/>
          <a:ext cx="6214667" cy="687431"/>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Arial" panose="020B0604020202020204" pitchFamily="34" charset="0"/>
              <a:cs typeface="Arial" panose="020B0604020202020204" pitchFamily="34" charset="0"/>
            </a:rPr>
            <a:t>To enter a new activity:   </a:t>
          </a:r>
          <a:r>
            <a:rPr lang="en-CA" sz="1000">
              <a:latin typeface="Arial" panose="020B0604020202020204" pitchFamily="34" charset="0"/>
              <a:cs typeface="Arial" panose="020B0604020202020204" pitchFamily="34" charset="0"/>
            </a:rPr>
            <a:t>- enter text in the row immediately below the table;</a:t>
          </a:r>
          <a:r>
            <a:rPr lang="en-CA" sz="1000" baseline="0">
              <a:latin typeface="Arial" panose="020B0604020202020204" pitchFamily="34" charset="0"/>
              <a:cs typeface="Arial" panose="020B0604020202020204" pitchFamily="34" charset="0"/>
            </a:rPr>
            <a:t> or</a:t>
          </a:r>
        </a:p>
        <a:p>
          <a:r>
            <a:rPr lang="en-CA" sz="1000" baseline="0">
              <a:latin typeface="Arial" panose="020B0604020202020204" pitchFamily="34" charset="0"/>
              <a:cs typeface="Arial" panose="020B0604020202020204" pitchFamily="34" charset="0"/>
            </a:rPr>
            <a:t>                                           - press tab after selecting the bottom right cell of the table; or</a:t>
          </a:r>
        </a:p>
        <a:p>
          <a:r>
            <a:rPr lang="en-CA" sz="1000" baseline="0">
              <a:latin typeface="Arial" panose="020B0604020202020204" pitchFamily="34" charset="0"/>
              <a:cs typeface="Arial" panose="020B0604020202020204" pitchFamily="34" charset="0"/>
            </a:rPr>
            <a:t>                                           - right click anywhere in the table ⯈ Insert ⯈ Table Rows (Above or Below)</a:t>
          </a:r>
        </a:p>
      </xdr:txBody>
    </xdr:sp>
    <xdr:clientData/>
  </xdr:twoCellAnchor>
  <xdr:twoCellAnchor>
    <xdr:from>
      <xdr:col>20</xdr:col>
      <xdr:colOff>559010</xdr:colOff>
      <xdr:row>13</xdr:row>
      <xdr:rowOff>66886</xdr:rowOff>
    </xdr:from>
    <xdr:to>
      <xdr:col>20</xdr:col>
      <xdr:colOff>1056426</xdr:colOff>
      <xdr:row>13</xdr:row>
      <xdr:rowOff>564302</xdr:rowOff>
    </xdr:to>
    <xdr:pic>
      <xdr:nvPicPr>
        <xdr:cNvPr id="5" name="Graphic 4" descr="Robot with solid fill">
          <a:extLst>
            <a:ext uri="{FF2B5EF4-FFF2-40B4-BE49-F238E27FC236}">
              <a16:creationId xmlns:a16="http://schemas.microsoft.com/office/drawing/2014/main" id="{70AB2C5C-3336-A537-ED71-5942F2439E54}"/>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 uri="{96DAC541-7B7A-43D3-8B79-37D633B846F1}">
              <asvg:svgBlip xmlns:asvg="http://schemas.microsoft.com/office/drawing/2016/SVG/main" r:embed="rId9"/>
            </a:ext>
          </a:extLst>
        </a:blip>
        <a:stretch>
          <a:fillRect/>
        </a:stretch>
      </xdr:blipFill>
      <xdr:spPr>
        <a:xfrm>
          <a:off x="21637275" y="4168239"/>
          <a:ext cx="497416" cy="497416"/>
        </a:xfrm>
        <a:prstGeom prst="rect">
          <a:avLst/>
        </a:prstGeom>
      </xdr:spPr>
    </xdr:pic>
    <xdr:clientData/>
  </xdr:twoCellAnchor>
  <xdr:twoCellAnchor>
    <xdr:from>
      <xdr:col>20</xdr:col>
      <xdr:colOff>2547847</xdr:colOff>
      <xdr:row>13</xdr:row>
      <xdr:rowOff>74706</xdr:rowOff>
    </xdr:from>
    <xdr:to>
      <xdr:col>20</xdr:col>
      <xdr:colOff>3045263</xdr:colOff>
      <xdr:row>13</xdr:row>
      <xdr:rowOff>572122</xdr:rowOff>
    </xdr:to>
    <xdr:pic>
      <xdr:nvPicPr>
        <xdr:cNvPr id="7" name="Graphic 6" descr="Robot with solid fill">
          <a:extLst>
            <a:ext uri="{FF2B5EF4-FFF2-40B4-BE49-F238E27FC236}">
              <a16:creationId xmlns:a16="http://schemas.microsoft.com/office/drawing/2014/main" id="{EDDD10BC-E9A6-4D0F-AE7D-E995FFFE117E}"/>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 uri="{96DAC541-7B7A-43D3-8B79-37D633B846F1}">
              <asvg:svgBlip xmlns:asvg="http://schemas.microsoft.com/office/drawing/2016/SVG/main" r:embed="rId9"/>
            </a:ext>
          </a:extLst>
        </a:blip>
        <a:stretch>
          <a:fillRect/>
        </a:stretch>
      </xdr:blipFill>
      <xdr:spPr>
        <a:xfrm>
          <a:off x="24634641" y="2226235"/>
          <a:ext cx="497416" cy="497416"/>
        </a:xfrm>
        <a:prstGeom prst="rect">
          <a:avLst/>
        </a:prstGeom>
      </xdr:spPr>
    </xdr:pic>
    <xdr:clientData/>
  </xdr:twoCellAnchor>
  <xdr:twoCellAnchor editAs="absolute">
    <xdr:from>
      <xdr:col>16</xdr:col>
      <xdr:colOff>398033</xdr:colOff>
      <xdr:row>10</xdr:row>
      <xdr:rowOff>92372</xdr:rowOff>
    </xdr:from>
    <xdr:to>
      <xdr:col>18</xdr:col>
      <xdr:colOff>667267</xdr:colOff>
      <xdr:row>12</xdr:row>
      <xdr:rowOff>16430</xdr:rowOff>
    </xdr:to>
    <xdr:sp macro="" textlink="">
      <xdr:nvSpPr>
        <xdr:cNvPr id="3" name="Rectangle 2">
          <a:hlinkClick xmlns:r="http://schemas.openxmlformats.org/officeDocument/2006/relationships" r:id="rId10"/>
          <a:extLst>
            <a:ext uri="{FF2B5EF4-FFF2-40B4-BE49-F238E27FC236}">
              <a16:creationId xmlns:a16="http://schemas.microsoft.com/office/drawing/2014/main" id="{27C4E171-75C6-4052-9714-4BAF689A147D}"/>
            </a:ext>
          </a:extLst>
        </xdr:cNvPr>
        <xdr:cNvSpPr/>
      </xdr:nvSpPr>
      <xdr:spPr>
        <a:xfrm rot="10800000" flipH="1" flipV="1">
          <a:off x="15516699" y="1708105"/>
          <a:ext cx="2167200" cy="231789"/>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 by Activity+Stakeholder</a:t>
          </a:r>
        </a:p>
      </xdr:txBody>
    </xdr:sp>
    <xdr:clientData/>
  </xdr:twoCellAnchor>
  <xdr:twoCellAnchor editAs="absolute">
    <xdr:from>
      <xdr:col>19</xdr:col>
      <xdr:colOff>92360</xdr:colOff>
      <xdr:row>10</xdr:row>
      <xdr:rowOff>95682</xdr:rowOff>
    </xdr:from>
    <xdr:to>
      <xdr:col>20</xdr:col>
      <xdr:colOff>130649</xdr:colOff>
      <xdr:row>12</xdr:row>
      <xdr:rowOff>19740</xdr:rowOff>
    </xdr:to>
    <xdr:sp macro="" textlink="">
      <xdr:nvSpPr>
        <xdr:cNvPr id="6" name="Rectangle 5">
          <a:hlinkClick xmlns:r="http://schemas.openxmlformats.org/officeDocument/2006/relationships" r:id="rId11"/>
          <a:extLst>
            <a:ext uri="{FF2B5EF4-FFF2-40B4-BE49-F238E27FC236}">
              <a16:creationId xmlns:a16="http://schemas.microsoft.com/office/drawing/2014/main" id="{8D4396A4-C472-4D57-9352-BBAF002F015E}"/>
            </a:ext>
          </a:extLst>
        </xdr:cNvPr>
        <xdr:cNvSpPr/>
      </xdr:nvSpPr>
      <xdr:spPr>
        <a:xfrm rot="10800000" flipH="1" flipV="1">
          <a:off x="17951295" y="1703795"/>
          <a:ext cx="2171010" cy="231789"/>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Cost-benefit statement</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3295564</xdr:colOff>
      <xdr:row>10</xdr:row>
      <xdr:rowOff>113907</xdr:rowOff>
    </xdr:from>
    <xdr:to>
      <xdr:col>3</xdr:col>
      <xdr:colOff>134544</xdr:colOff>
      <xdr:row>13</xdr:row>
      <xdr:rowOff>93156</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400-000002000000}"/>
            </a:ext>
          </a:extLst>
        </xdr:cNvPr>
        <xdr:cNvSpPr/>
      </xdr:nvSpPr>
      <xdr:spPr>
        <a:xfrm rot="10800000" flipH="1" flipV="1">
          <a:off x="3564505" y="1727554"/>
          <a:ext cx="2833903" cy="444181"/>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2</xdr:col>
      <xdr:colOff>2688149</xdr:colOff>
      <xdr:row>14</xdr:row>
      <xdr:rowOff>130530</xdr:rowOff>
    </xdr:from>
    <xdr:to>
      <xdr:col>3</xdr:col>
      <xdr:colOff>2148871</xdr:colOff>
      <xdr:row>17</xdr:row>
      <xdr:rowOff>132340</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500-000002000000}"/>
            </a:ext>
          </a:extLst>
        </xdr:cNvPr>
        <xdr:cNvSpPr/>
      </xdr:nvSpPr>
      <xdr:spPr>
        <a:xfrm rot="10800000" flipH="1" flipV="1">
          <a:off x="6655031" y="2502591"/>
          <a:ext cx="3096919" cy="513695"/>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42333</xdr:colOff>
      <xdr:row>3</xdr:row>
      <xdr:rowOff>42333</xdr:rowOff>
    </xdr:from>
    <xdr:to>
      <xdr:col>2</xdr:col>
      <xdr:colOff>860562</xdr:colOff>
      <xdr:row>5</xdr:row>
      <xdr:rowOff>130586</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600-000002000000}"/>
            </a:ext>
          </a:extLst>
        </xdr:cNvPr>
        <xdr:cNvSpPr/>
      </xdr:nvSpPr>
      <xdr:spPr>
        <a:xfrm rot="10800000" flipH="1" flipV="1">
          <a:off x="656166" y="603250"/>
          <a:ext cx="2499921" cy="396228"/>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Return to</a:t>
          </a:r>
          <a:r>
            <a:rPr lang="en-CA" sz="1000" b="1" baseline="0">
              <a:solidFill>
                <a:schemeClr val="tx1"/>
              </a:solidFill>
              <a:latin typeface="Arial" panose="020B0604020202020204" pitchFamily="34" charset="0"/>
              <a:cs typeface="Arial" panose="020B0604020202020204" pitchFamily="34" charset="0"/>
            </a:rPr>
            <a:t> </a:t>
          </a:r>
          <a:r>
            <a:rPr lang="en-CA" sz="1000" b="1">
              <a:solidFill>
                <a:schemeClr val="tx1"/>
              </a:solidFill>
              <a:latin typeface="Arial" panose="020B0604020202020204" pitchFamily="34" charset="0"/>
              <a:cs typeface="Arial" panose="020B0604020202020204" pitchFamily="34" charset="0"/>
            </a:rPr>
            <a:t>Stakeholder Profile</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5</xdr:col>
      <xdr:colOff>449227</xdr:colOff>
      <xdr:row>10</xdr:row>
      <xdr:rowOff>114056</xdr:rowOff>
    </xdr:from>
    <xdr:to>
      <xdr:col>7</xdr:col>
      <xdr:colOff>923097</xdr:colOff>
      <xdr:row>12</xdr:row>
      <xdr:rowOff>142684</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4B191342-67B4-44E5-81A9-4B2A578EBE06}"/>
            </a:ext>
          </a:extLst>
        </xdr:cNvPr>
        <xdr:cNvSpPr/>
      </xdr:nvSpPr>
      <xdr:spPr>
        <a:xfrm rot="10800000" flipH="1" flipV="1">
          <a:off x="6954802" y="1790456"/>
          <a:ext cx="2340770" cy="352478"/>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7</xdr:col>
      <xdr:colOff>736690</xdr:colOff>
      <xdr:row>10</xdr:row>
      <xdr:rowOff>153792</xdr:rowOff>
    </xdr:from>
    <xdr:to>
      <xdr:col>10</xdr:col>
      <xdr:colOff>277111</xdr:colOff>
      <xdr:row>13</xdr:row>
      <xdr:rowOff>37417</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800-000002000000}"/>
            </a:ext>
          </a:extLst>
        </xdr:cNvPr>
        <xdr:cNvSpPr/>
      </xdr:nvSpPr>
      <xdr:spPr>
        <a:xfrm rot="10800000" flipH="1" flipV="1">
          <a:off x="9509215" y="1887342"/>
          <a:ext cx="2426496" cy="397975"/>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9</xdr:col>
      <xdr:colOff>363268</xdr:colOff>
      <xdr:row>11</xdr:row>
      <xdr:rowOff>93858</xdr:rowOff>
    </xdr:from>
    <xdr:to>
      <xdr:col>11</xdr:col>
      <xdr:colOff>476992</xdr:colOff>
      <xdr:row>14</xdr:row>
      <xdr:rowOff>17963</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900-000002000000}"/>
            </a:ext>
          </a:extLst>
        </xdr:cNvPr>
        <xdr:cNvSpPr/>
      </xdr:nvSpPr>
      <xdr:spPr>
        <a:xfrm rot="10800000" flipH="1" flipV="1">
          <a:off x="12336193" y="2006478"/>
          <a:ext cx="2361624" cy="430835"/>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11</xdr:col>
      <xdr:colOff>670325</xdr:colOff>
      <xdr:row>11</xdr:row>
      <xdr:rowOff>79240</xdr:rowOff>
    </xdr:from>
    <xdr:to>
      <xdr:col>14</xdr:col>
      <xdr:colOff>151112</xdr:colOff>
      <xdr:row>13</xdr:row>
      <xdr:rowOff>136762</xdr:rowOff>
    </xdr:to>
    <xdr:sp macro="" textlink="">
      <xdr:nvSpPr>
        <xdr:cNvPr id="3" name="Arrow: Left 2">
          <a:hlinkClick xmlns:r="http://schemas.openxmlformats.org/officeDocument/2006/relationships" r:id="rId1"/>
          <a:extLst>
            <a:ext uri="{FF2B5EF4-FFF2-40B4-BE49-F238E27FC236}">
              <a16:creationId xmlns:a16="http://schemas.microsoft.com/office/drawing/2014/main" id="{DB7A202B-F202-4552-94A4-3BF22574BD35}"/>
            </a:ext>
          </a:extLst>
        </xdr:cNvPr>
        <xdr:cNvSpPr/>
      </xdr:nvSpPr>
      <xdr:spPr>
        <a:xfrm rot="10800000" flipH="1" flipV="1">
          <a:off x="15279770" y="1984240"/>
          <a:ext cx="2395437" cy="404232"/>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2.xml><?xml version="1.0" encoding="utf-8"?>
<xdr:wsDr xmlns:xdr="http://schemas.openxmlformats.org/drawingml/2006/spreadsheetDrawing" xmlns:a="http://schemas.openxmlformats.org/drawingml/2006/main">
  <xdr:twoCellAnchor editAs="absolute">
    <xdr:from>
      <xdr:col>12</xdr:col>
      <xdr:colOff>343155</xdr:colOff>
      <xdr:row>11</xdr:row>
      <xdr:rowOff>85904</xdr:rowOff>
    </xdr:from>
    <xdr:to>
      <xdr:col>14</xdr:col>
      <xdr:colOff>782563</xdr:colOff>
      <xdr:row>15</xdr:row>
      <xdr:rowOff>7786</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3F821B29-5429-4415-939B-DD7651B93662}"/>
            </a:ext>
          </a:extLst>
        </xdr:cNvPr>
        <xdr:cNvSpPr/>
      </xdr:nvSpPr>
      <xdr:spPr>
        <a:xfrm rot="10800000" flipH="1" flipV="1">
          <a:off x="14783055" y="1952804"/>
          <a:ext cx="2325358" cy="569582"/>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3.xml><?xml version="1.0" encoding="utf-8"?>
<xdr:wsDr xmlns:xdr="http://schemas.openxmlformats.org/drawingml/2006/spreadsheetDrawing" xmlns:a="http://schemas.openxmlformats.org/drawingml/2006/main">
  <xdr:twoCellAnchor editAs="absolute">
    <xdr:from>
      <xdr:col>15</xdr:col>
      <xdr:colOff>57572</xdr:colOff>
      <xdr:row>11</xdr:row>
      <xdr:rowOff>112394</xdr:rowOff>
    </xdr:from>
    <xdr:to>
      <xdr:col>18</xdr:col>
      <xdr:colOff>609995</xdr:colOff>
      <xdr:row>13</xdr:row>
      <xdr:rowOff>288900</xdr:rowOff>
    </xdr:to>
    <xdr:sp macro="" textlink="">
      <xdr:nvSpPr>
        <xdr:cNvPr id="3" name="Arrow: Left 2">
          <a:hlinkClick xmlns:r="http://schemas.openxmlformats.org/officeDocument/2006/relationships" r:id="rId1"/>
          <a:extLst>
            <a:ext uri="{FF2B5EF4-FFF2-40B4-BE49-F238E27FC236}">
              <a16:creationId xmlns:a16="http://schemas.microsoft.com/office/drawing/2014/main" id="{00000000-0008-0000-0B00-000003000000}"/>
            </a:ext>
          </a:extLst>
        </xdr:cNvPr>
        <xdr:cNvSpPr/>
      </xdr:nvSpPr>
      <xdr:spPr>
        <a:xfrm rot="10800000" flipH="1" flipV="1">
          <a:off x="18336047" y="1722119"/>
          <a:ext cx="2438373" cy="462256"/>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twoCellAnchor>
    <xdr:from>
      <xdr:col>2</xdr:col>
      <xdr:colOff>114298</xdr:colOff>
      <xdr:row>3</xdr:row>
      <xdr:rowOff>114300</xdr:rowOff>
    </xdr:from>
    <xdr:to>
      <xdr:col>5</xdr:col>
      <xdr:colOff>314324</xdr:colOff>
      <xdr:row>10</xdr:row>
      <xdr:rowOff>95251</xdr:rowOff>
    </xdr:to>
    <xdr:sp macro="" textlink="">
      <xdr:nvSpPr>
        <xdr:cNvPr id="2" name="TextBox 1">
          <a:extLst>
            <a:ext uri="{FF2B5EF4-FFF2-40B4-BE49-F238E27FC236}">
              <a16:creationId xmlns:a16="http://schemas.microsoft.com/office/drawing/2014/main" id="{00000000-0008-0000-0B00-000002000000}"/>
            </a:ext>
          </a:extLst>
        </xdr:cNvPr>
        <xdr:cNvSpPr txBox="1"/>
      </xdr:nvSpPr>
      <xdr:spPr>
        <a:xfrm>
          <a:off x="1352548" y="590550"/>
          <a:ext cx="8486776" cy="1064420"/>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dk1"/>
              </a:solidFill>
              <a:effectLst/>
              <a:latin typeface="Arial" panose="020B0604020202020204" pitchFamily="34" charset="0"/>
              <a:ea typeface="+mn-ea"/>
              <a:cs typeface="Arial" panose="020B0604020202020204" pitchFamily="34" charset="0"/>
            </a:rPr>
            <a:t>To enter a new custom</a:t>
          </a:r>
          <a:r>
            <a:rPr lang="en-CA" sz="1000" b="1" baseline="0">
              <a:solidFill>
                <a:schemeClr val="dk1"/>
              </a:solidFill>
              <a:effectLst/>
              <a:latin typeface="Arial" panose="020B0604020202020204" pitchFamily="34" charset="0"/>
              <a:ea typeface="+mn-ea"/>
              <a:cs typeface="Arial" panose="020B0604020202020204" pitchFamily="34" charset="0"/>
            </a:rPr>
            <a:t> wage</a:t>
          </a:r>
          <a:r>
            <a:rPr lang="en-CA" sz="1000" b="1">
              <a:solidFill>
                <a:schemeClr val="dk1"/>
              </a:solidFill>
              <a:effectLst/>
              <a:latin typeface="Arial" panose="020B0604020202020204" pitchFamily="34" charset="0"/>
              <a:ea typeface="+mn-ea"/>
              <a:cs typeface="Arial" panose="020B0604020202020204" pitchFamily="34" charset="0"/>
            </a:rPr>
            <a:t>:       </a:t>
          </a:r>
          <a:r>
            <a:rPr lang="en-CA" sz="1000">
              <a:solidFill>
                <a:schemeClr val="dk1"/>
              </a:solidFill>
              <a:effectLst/>
              <a:latin typeface="Arial" panose="020B0604020202020204" pitchFamily="34" charset="0"/>
              <a:ea typeface="+mn-ea"/>
              <a:cs typeface="Arial" panose="020B0604020202020204" pitchFamily="34" charset="0"/>
            </a:rPr>
            <a:t>- enter text in the row immediately below the table;</a:t>
          </a:r>
          <a:r>
            <a:rPr lang="en-CA" sz="1000" baseline="0">
              <a:solidFill>
                <a:schemeClr val="dk1"/>
              </a:solidFill>
              <a:effectLst/>
              <a:latin typeface="Arial" panose="020B0604020202020204" pitchFamily="34" charset="0"/>
              <a:ea typeface="+mn-ea"/>
              <a:cs typeface="Arial" panose="020B0604020202020204" pitchFamily="34" charset="0"/>
            </a:rPr>
            <a:t>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press tab after selecting the bottom right cell of the table;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right click anywhere in the table ⯈ Insert ⯈ Table Rows (Above or Below)</a:t>
          </a:r>
        </a:p>
        <a:p>
          <a:endParaRPr lang="en-CA" sz="1000">
            <a:effectLst/>
            <a:latin typeface="Arial" panose="020B0604020202020204" pitchFamily="34" charset="0"/>
            <a:cs typeface="Arial" panose="020B0604020202020204" pitchFamily="34" charset="0"/>
          </a:endParaRPr>
        </a:p>
        <a:p>
          <a:r>
            <a:rPr lang="en-CA" sz="1000" i="1">
              <a:effectLst/>
              <a:latin typeface="Arial" panose="020B0604020202020204" pitchFamily="34" charset="0"/>
              <a:cs typeface="Arial" panose="020B0604020202020204" pitchFamily="34" charset="0"/>
            </a:rPr>
            <a:t>Fill out columns 2,</a:t>
          </a:r>
          <a:r>
            <a:rPr lang="en-CA" sz="1000" i="1" baseline="0">
              <a:effectLst/>
              <a:latin typeface="Arial" panose="020B0604020202020204" pitchFamily="34" charset="0"/>
              <a:cs typeface="Arial" panose="020B0604020202020204" pitchFamily="34" charset="0"/>
            </a:rPr>
            <a:t> 3, and 4</a:t>
          </a:r>
          <a:r>
            <a:rPr lang="en-CA" sz="1000" i="1">
              <a:effectLst/>
              <a:latin typeface="Arial" panose="020B0604020202020204" pitchFamily="34" charset="0"/>
              <a:cs typeface="Arial" panose="020B0604020202020204" pitchFamily="34" charset="0"/>
            </a:rPr>
            <a:t> only (do</a:t>
          </a:r>
          <a:r>
            <a:rPr lang="en-CA" sz="1000" i="1" baseline="0">
              <a:effectLst/>
              <a:latin typeface="Arial" panose="020B0604020202020204" pitchFamily="34" charset="0"/>
              <a:cs typeface="Arial" panose="020B0604020202020204" pitchFamily="34" charset="0"/>
            </a:rPr>
            <a:t>n't change any grey cells). The values in the first and last columns are produced automatically. </a:t>
          </a:r>
          <a:endParaRPr lang="en-CA" sz="1000" i="1">
            <a:effectLst/>
            <a:latin typeface="Arial" panose="020B0604020202020204" pitchFamily="34" charset="0"/>
            <a:cs typeface="Arial" panose="020B0604020202020204" pitchFamily="34" charset="0"/>
          </a:endParaRPr>
        </a:p>
        <a:p>
          <a:endParaRPr lang="en-CA" sz="1100"/>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761999</xdr:colOff>
      <xdr:row>3</xdr:row>
      <xdr:rowOff>77894</xdr:rowOff>
    </xdr:from>
    <xdr:to>
      <xdr:col>13</xdr:col>
      <xdr:colOff>190500</xdr:colOff>
      <xdr:row>11</xdr:row>
      <xdr:rowOff>95251</xdr:rowOff>
    </xdr:to>
    <xdr:sp macro="" textlink="">
      <xdr:nvSpPr>
        <xdr:cNvPr id="2" name="TextBox 1">
          <a:extLst>
            <a:ext uri="{FF2B5EF4-FFF2-40B4-BE49-F238E27FC236}">
              <a16:creationId xmlns:a16="http://schemas.microsoft.com/office/drawing/2014/main" id="{00000000-0008-0000-0A00-000002000000}"/>
            </a:ext>
          </a:extLst>
        </xdr:cNvPr>
        <xdr:cNvSpPr txBox="1"/>
      </xdr:nvSpPr>
      <xdr:spPr>
        <a:xfrm>
          <a:off x="920749" y="522394"/>
          <a:ext cx="8244418" cy="1202690"/>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i="0" u="none" strike="noStrike">
              <a:solidFill>
                <a:schemeClr val="dk1"/>
              </a:solidFill>
              <a:effectLst/>
              <a:latin typeface="Arial" panose="020B0604020202020204" pitchFamily="34" charset="0"/>
              <a:ea typeface="+mn-ea"/>
              <a:cs typeface="Arial" panose="020B0604020202020204" pitchFamily="34" charset="0"/>
            </a:rPr>
            <a:t>To update the price level automatically (desktop</a:t>
          </a:r>
          <a:r>
            <a:rPr lang="en-CA" sz="1000" b="1" i="0" u="none" strike="noStrike" baseline="0">
              <a:solidFill>
                <a:schemeClr val="dk1"/>
              </a:solidFill>
              <a:effectLst/>
              <a:latin typeface="Arial" panose="020B0604020202020204" pitchFamily="34" charset="0"/>
              <a:ea typeface="+mn-ea"/>
              <a:cs typeface="Arial" panose="020B0604020202020204" pitchFamily="34" charset="0"/>
            </a:rPr>
            <a:t> version only)</a:t>
          </a:r>
          <a:r>
            <a:rPr lang="en-CA" sz="1000" b="1" i="0" u="none" strike="noStrike">
              <a:solidFill>
                <a:schemeClr val="dk1"/>
              </a:solidFill>
              <a:effectLst/>
              <a:latin typeface="Arial" panose="020B0604020202020204" pitchFamily="34" charset="0"/>
              <a:ea typeface="+mn-ea"/>
              <a:cs typeface="Arial" panose="020B0604020202020204" pitchFamily="34" charset="0"/>
            </a:rPr>
            <a:t>:</a:t>
          </a:r>
          <a:r>
            <a:rPr lang="en-CA" sz="1000" b="1" i="0" u="none" strike="noStrike" baseline="0">
              <a:solidFill>
                <a:schemeClr val="dk1"/>
              </a:solidFill>
              <a:effectLst/>
              <a:latin typeface="Arial" panose="020B0604020202020204" pitchFamily="34" charset="0"/>
              <a:ea typeface="+mn-ea"/>
              <a:cs typeface="Arial" panose="020B0604020202020204" pitchFamily="34" charset="0"/>
            </a:rPr>
            <a:t>   </a:t>
          </a:r>
          <a:r>
            <a:rPr lang="en-CA" sz="1000" b="0" i="0" u="none" strike="noStrike">
              <a:solidFill>
                <a:schemeClr val="dk1"/>
              </a:solidFill>
              <a:effectLst/>
              <a:latin typeface="Arial" panose="020B0604020202020204" pitchFamily="34" charset="0"/>
              <a:ea typeface="+mn-ea"/>
              <a:cs typeface="Arial" panose="020B0604020202020204" pitchFamily="34" charset="0"/>
            </a:rPr>
            <a:t>- right click anywhere in the table ⯈ Refresh; or</a:t>
          </a:r>
        </a:p>
        <a:p>
          <a:r>
            <a:rPr lang="en-CA" sz="1000">
              <a:latin typeface="Arial" panose="020B0604020202020204" pitchFamily="34" charset="0"/>
              <a:cs typeface="Arial" panose="020B0604020202020204" pitchFamily="34" charset="0"/>
            </a:rPr>
            <a:t>                                                                             	</a:t>
          </a:r>
          <a:r>
            <a:rPr lang="en-CA" sz="1000" baseline="0">
              <a:latin typeface="Arial" panose="020B0604020202020204" pitchFamily="34" charset="0"/>
              <a:cs typeface="Arial" panose="020B0604020202020204" pitchFamily="34" charset="0"/>
            </a:rPr>
            <a:t>                                </a:t>
          </a:r>
          <a:r>
            <a:rPr lang="en-CA" sz="1000">
              <a:latin typeface="Arial" panose="020B0604020202020204" pitchFamily="34" charset="0"/>
              <a:cs typeface="Arial" panose="020B0604020202020204" pitchFamily="34" charset="0"/>
            </a:rPr>
            <a:t>- click the Data ribbon ⯈ Refresh All (Ctrl + Alt + F5)</a:t>
          </a:r>
        </a:p>
        <a:p>
          <a:endParaRPr lang="en-CA" sz="1000">
            <a:latin typeface="Arial" panose="020B0604020202020204" pitchFamily="34" charset="0"/>
            <a:cs typeface="Arial" panose="020B0604020202020204" pitchFamily="34" charset="0"/>
          </a:endParaRPr>
        </a:p>
        <a:p>
          <a:r>
            <a:rPr lang="en-CA" sz="1000" b="1">
              <a:latin typeface="Arial" panose="020B0604020202020204" pitchFamily="34" charset="0"/>
              <a:cs typeface="Arial" panose="020B0604020202020204" pitchFamily="34" charset="0"/>
            </a:rPr>
            <a:t>To</a:t>
          </a:r>
          <a:r>
            <a:rPr lang="en-CA" sz="1000" b="1" baseline="0">
              <a:latin typeface="Arial" panose="020B0604020202020204" pitchFamily="34" charset="0"/>
              <a:cs typeface="Arial" panose="020B0604020202020204" pitchFamily="34" charset="0"/>
            </a:rPr>
            <a:t> enter a new row in this table manually (desktop or online):</a:t>
          </a:r>
          <a:r>
            <a:rPr lang="en-CA" sz="1000" baseline="0">
              <a:latin typeface="Arial" panose="020B0604020202020204" pitchFamily="34" charset="0"/>
              <a:cs typeface="Arial" panose="020B0604020202020204" pitchFamily="34" charset="0"/>
            </a:rPr>
            <a:t>     - enter text in the row immediately below the table; or</a:t>
          </a:r>
        </a:p>
        <a:p>
          <a:r>
            <a:rPr lang="en-CA" sz="1000" baseline="0">
              <a:latin typeface="Arial" panose="020B0604020202020204" pitchFamily="34" charset="0"/>
              <a:cs typeface="Arial" panose="020B0604020202020204" pitchFamily="34" charset="0"/>
            </a:rPr>
            <a:t>                                                                                                              - press Tab after selecting the bottom right cell of the table; or</a:t>
          </a:r>
        </a:p>
        <a:p>
          <a:r>
            <a:rPr lang="en-CA" sz="1000" baseline="0">
              <a:latin typeface="Arial" panose="020B0604020202020204" pitchFamily="34" charset="0"/>
              <a:cs typeface="Arial" panose="020B0604020202020204" pitchFamily="34" charset="0"/>
            </a:rPr>
            <a:t>                                                                                                              - right click in the bottom row of the table ⯈ Insert ⯈ Table Row Below </a:t>
          </a:r>
          <a:endParaRPr lang="en-CA" sz="1000">
            <a:latin typeface="Arial" panose="020B0604020202020204" pitchFamily="34" charset="0"/>
            <a:cs typeface="Arial" panose="020B0604020202020204" pitchFamily="34" charset="0"/>
          </a:endParaRPr>
        </a:p>
        <a:p>
          <a:endParaRPr lang="en-CA" sz="1100"/>
        </a:p>
      </xdr:txBody>
    </xdr:sp>
    <xdr:clientData/>
  </xdr:twoCellAnchor>
</xdr:wsDr>
</file>

<file path=xl/drawings/drawing15.xml><?xml version="1.0" encoding="utf-8"?>
<xdr:wsDr xmlns:xdr="http://schemas.openxmlformats.org/drawingml/2006/spreadsheetDrawing" xmlns:a="http://schemas.openxmlformats.org/drawingml/2006/main">
  <xdr:twoCellAnchor editAs="absolute">
    <xdr:from>
      <xdr:col>0</xdr:col>
      <xdr:colOff>0</xdr:colOff>
      <xdr:row>0</xdr:row>
      <xdr:rowOff>19686</xdr:rowOff>
    </xdr:from>
    <xdr:to>
      <xdr:col>0</xdr:col>
      <xdr:colOff>857250</xdr:colOff>
      <xdr:row>0</xdr:row>
      <xdr:rowOff>204107</xdr:rowOff>
    </xdr:to>
    <xdr:sp macro="" textlink="">
      <xdr:nvSpPr>
        <xdr:cNvPr id="2" name="TextBox 1">
          <a:hlinkClick xmlns:r="http://schemas.openxmlformats.org/officeDocument/2006/relationships" r:id="rId1"/>
          <a:extLst>
            <a:ext uri="{FF2B5EF4-FFF2-40B4-BE49-F238E27FC236}">
              <a16:creationId xmlns:a16="http://schemas.microsoft.com/office/drawing/2014/main" id="{9D4F7901-278A-7B3E-4C53-C17245491311}"/>
            </a:ext>
          </a:extLst>
        </xdr:cNvPr>
        <xdr:cNvSpPr txBox="1"/>
      </xdr:nvSpPr>
      <xdr:spPr>
        <a:xfrm>
          <a:off x="0" y="19686"/>
          <a:ext cx="857250" cy="184421"/>
        </a:xfrm>
        <a:prstGeom prst="rect">
          <a:avLst/>
        </a:prstGeom>
        <a:solidFill>
          <a:srgbClr val="C000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900" b="1">
              <a:solidFill>
                <a:schemeClr val="bg1"/>
              </a:solidFill>
              <a:latin typeface="Arial" panose="020B0604020202020204" pitchFamily="34" charset="0"/>
              <a:cs typeface="Arial" panose="020B0604020202020204" pitchFamily="34" charset="0"/>
            </a:rPr>
            <a:t>FORMULAS</a:t>
          </a:r>
        </a:p>
      </xdr:txBody>
    </xdr:sp>
    <xdr:clientData/>
  </xdr:twoCellAnchor>
</xdr:wsDr>
</file>

<file path=xl/drawings/drawing16.xml><?xml version="1.0" encoding="utf-8"?>
<xdr:wsDr xmlns:xdr="http://schemas.openxmlformats.org/drawingml/2006/spreadsheetDrawing" xmlns:a="http://schemas.openxmlformats.org/drawingml/2006/main">
  <xdr:twoCellAnchor editAs="absolute">
    <xdr:from>
      <xdr:col>70</xdr:col>
      <xdr:colOff>489103</xdr:colOff>
      <xdr:row>0</xdr:row>
      <xdr:rowOff>80962</xdr:rowOff>
    </xdr:from>
    <xdr:to>
      <xdr:col>72</xdr:col>
      <xdr:colOff>411822</xdr:colOff>
      <xdr:row>0</xdr:row>
      <xdr:rowOff>274319</xdr:rowOff>
    </xdr:to>
    <xdr:sp macro="" textlink="">
      <xdr:nvSpPr>
        <xdr:cNvPr id="2" name="TextBox 1">
          <a:hlinkClick xmlns:r="http://schemas.openxmlformats.org/officeDocument/2006/relationships" r:id="rId1"/>
          <a:extLst>
            <a:ext uri="{FF2B5EF4-FFF2-40B4-BE49-F238E27FC236}">
              <a16:creationId xmlns:a16="http://schemas.microsoft.com/office/drawing/2014/main" id="{EF9BDF5C-21B2-A436-E5AD-4740ECB83C83}"/>
            </a:ext>
          </a:extLst>
        </xdr:cNvPr>
        <xdr:cNvSpPr txBox="1"/>
      </xdr:nvSpPr>
      <xdr:spPr>
        <a:xfrm>
          <a:off x="128838478" y="80962"/>
          <a:ext cx="1065719" cy="193357"/>
        </a:xfrm>
        <a:prstGeom prst="rect">
          <a:avLst/>
        </a:prstGeom>
        <a:solidFill>
          <a:srgbClr val="C000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bg1"/>
              </a:solidFill>
              <a:latin typeface="Arial" panose="020B0604020202020204" pitchFamily="34" charset="0"/>
              <a:cs typeface="Arial" panose="020B0604020202020204" pitchFamily="34" charset="0"/>
            </a:rPr>
            <a:t>FULL OUTPUT</a:t>
          </a:r>
        </a:p>
      </xdr:txBody>
    </xdr:sp>
    <xdr:clientData/>
  </xdr:twoCellAnchor>
  <xdr:twoCellAnchor>
    <xdr:from>
      <xdr:col>67</xdr:col>
      <xdr:colOff>269875</xdr:colOff>
      <xdr:row>0</xdr:row>
      <xdr:rowOff>317501</xdr:rowOff>
    </xdr:from>
    <xdr:to>
      <xdr:col>72</xdr:col>
      <xdr:colOff>571500</xdr:colOff>
      <xdr:row>0</xdr:row>
      <xdr:rowOff>904875</xdr:rowOff>
    </xdr:to>
    <xdr:sp macro="" textlink="">
      <xdr:nvSpPr>
        <xdr:cNvPr id="3" name="TextBox 2">
          <a:extLst>
            <a:ext uri="{FF2B5EF4-FFF2-40B4-BE49-F238E27FC236}">
              <a16:creationId xmlns:a16="http://schemas.microsoft.com/office/drawing/2014/main" id="{9F32F731-84FA-E4BF-F71E-C0EABFBC655F}"/>
            </a:ext>
          </a:extLst>
        </xdr:cNvPr>
        <xdr:cNvSpPr txBox="1"/>
      </xdr:nvSpPr>
      <xdr:spPr>
        <a:xfrm>
          <a:off x="114458750" y="317501"/>
          <a:ext cx="3317875" cy="587374"/>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0">
              <a:latin typeface="Arial" panose="020B0604020202020204" pitchFamily="34" charset="0"/>
              <a:cs typeface="Arial" panose="020B0604020202020204" pitchFamily="34" charset="0"/>
            </a:rPr>
            <a:t>Copy-paste the formulas</a:t>
          </a:r>
          <a:r>
            <a:rPr lang="en-CA" sz="1000" b="0" baseline="0">
              <a:latin typeface="Arial" panose="020B0604020202020204" pitchFamily="34" charset="0"/>
              <a:cs typeface="Arial" panose="020B0604020202020204" pitchFamily="34" charset="0"/>
            </a:rPr>
            <a:t> on the right back into the appropriate columns on the Full Output tab, if needed.</a:t>
          </a:r>
          <a:endParaRPr lang="en-CA" sz="1000" b="0">
            <a:latin typeface="Arial" panose="020B0604020202020204" pitchFamily="34" charset="0"/>
            <a:cs typeface="Arial" panose="020B0604020202020204" pitchFamily="34" charset="0"/>
          </a:endParaRPr>
        </a:p>
      </xdr:txBody>
    </xdr:sp>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adjustColumnWidth="0" connectionId="2" xr16:uid="{32D50E65-986C-41BB-BC3A-C8843264CE02}" autoFormatId="16" applyNumberFormats="0" applyBorderFormats="0" applyFontFormats="0" applyPatternFormats="0" applyAlignmentFormats="0" applyWidthHeightFormats="0">
  <queryTableRefresh nextId="10">
    <queryTableFields count="1">
      <queryTableField id="9" name="Right-click and Refresh this box to check for a new version" tableColumnId="1"/>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adjustColumnWidth="0" connectionId="1" xr16:uid="{77810986-9F2F-4670-A973-631B7C7D9C7B}" autoFormatId="16" applyNumberFormats="0" applyBorderFormats="0" applyFontFormats="0" applyPatternFormats="0" applyAlignmentFormats="0" applyWidthHeightFormats="0">
  <queryTableRefresh nextId="5">
    <queryTableFields count="2">
      <queryTableField id="3" name="Year" tableColumnId="3"/>
      <queryTableField id="4" name="Index"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15D52BA-1269-44CD-8FD7-EBCCD03C29C8}" name="Table_0__2" displayName="Table_0__2" ref="C23:C24" tableType="queryTable" totalsRowShown="0" headerRowDxfId="128" dataDxfId="126" headerRowBorderDxfId="127">
  <tableColumns count="1">
    <tableColumn id="1" xr3:uid="{EADD94CF-9F64-4ABB-BDD4-B2AE739C8E16}" uniqueName="1" name="Right-click and Refresh this box to check for a new version" queryTableFieldId="9" dataDxfId="125"/>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38CA855-6D51-438C-8ED0-814BF39BFC2B}" name="tbl_Stakeholders" displayName="tbl_Stakeholders" ref="B16:K17" insertRow="1" totalsRowShown="0" headerRowDxfId="124" dataDxfId="122" headerRowBorderDxfId="123" tableBorderDxfId="121" totalsRowBorderDxfId="120" headerRowCellStyle="Normal 2">
  <sortState xmlns:xlrd2="http://schemas.microsoft.com/office/spreadsheetml/2017/richdata2" ref="B16:J16">
    <sortCondition ref="B16"/>
  </sortState>
  <tableColumns count="10">
    <tableColumn id="1" xr3:uid="{920BEA18-267B-450E-A764-D1B1BCDCB6CA}" name="Stakeholder Group" dataDxfId="119" dataCellStyle="Normal 2"/>
    <tableColumn id="2" xr3:uid="{6DEF87FF-4018-4CCC-AA7B-48BB3AA83B4F}" name="Non-business Count" dataDxfId="118" dataCellStyle="Normal 2"/>
    <tableColumn id="3" xr3:uid="{C411DE19-DA82-4F13-82B7-F1B3F5C007D9}" name="Small Business Count" dataDxfId="117" dataCellStyle="Normal 2"/>
    <tableColumn id="4" xr3:uid="{2821D350-189F-488F-A5C0-B64868EE3E0B}" name="Med/Large Business Count" dataDxfId="116" dataCellStyle="Normal 2"/>
    <tableColumn id="5" xr3:uid="{BEE60A7C-1D51-4E0C-BAC8-E9A211B9898A}" name="Total Business Count" dataDxfId="115" dataCellStyle="Normal 2">
      <calculatedColumnFormula>tbl_Stakeholders[[#This Row],[Small Business Count]]+tbl_Stakeholders[[#This Row],[Med/Large Business Count]]</calculatedColumnFormula>
    </tableColumn>
    <tableColumn id="6" xr3:uid="{02F67F9E-27FC-4254-8917-E5A57077B350}" name="Total Stakeholder Count" dataDxfId="114" dataCellStyle="Normal 2">
      <calculatedColumnFormula>tbl_Stakeholders[[#This Row],[Total Business Count]]+tbl_Stakeholders[[#This Row],[Non-business Count]]</calculatedColumnFormula>
    </tableColumn>
    <tableColumn id="7" xr3:uid="{C4E5A3C2-5587-4C6A-B637-AF20A4EBC801}" name="Non-business Growth Rate" dataDxfId="113"/>
    <tableColumn id="8" xr3:uid="{AF02A1C2-038B-404C-B16D-B49AFC50CABB}" name="Small Business Growth Rate" dataDxfId="112"/>
    <tableColumn id="9" xr3:uid="{267A6211-159E-4F86-B38D-F1BD02AB00CA}" name="Med/Large Business Growth Rate" dataDxfId="111"/>
    <tableColumn id="10" xr3:uid="{BC102B3C-339F-43E9-BA35-E017D3B34308}" name="Assumptions/Notes" dataDxfId="110"/>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EEFDA80F-E24F-454C-88CC-3272A111FB96}" name="tbl_Activities" displayName="tbl_Activities" ref="B14:V15" totalsRowShown="0" headerRowDxfId="109" dataDxfId="107" headerRowBorderDxfId="108" tableBorderDxfId="106" totalsRowBorderDxfId="105" headerRowCellStyle="Normal 2">
  <tableColumns count="21">
    <tableColumn id="1" xr3:uid="{65A099BC-738F-4CA0-85A2-8F4C8F82D830}" name="Activity" dataDxfId="104" dataCellStyle="Normal 2"/>
    <tableColumn id="2" xr3:uid="{2BE44DDF-2D28-448F-B936-D007FFA33384}" name="Administrative or Compliance" dataDxfId="103" dataCellStyle="Normal 2"/>
    <tableColumn id="3" xr3:uid="{1C632198-DE0B-4414-8650-8FE47D525F88}" name="In or Out" dataDxfId="102" dataCellStyle="Normal 2"/>
    <tableColumn id="4" xr3:uid="{0EDBD594-8489-4C44-9D96-F1ADEEBE0DBF}" name="Upfront or  Ongoing" dataDxfId="101" dataCellStyle="Normal 2"/>
    <tableColumn id="5" xr3:uid="{D1C308E2-BA3C-4525-B8CB-F4071E802FD6}" name="Start Year" dataDxfId="100" dataCellStyle="Normal 2"/>
    <tableColumn id="6" xr3:uid="{82BC7FDD-AB9E-44E9-82B3-C61093609B04}" name="End Year" dataDxfId="99" dataCellStyle="Normal 2"/>
    <tableColumn id="7" xr3:uid="{4613A8BF-D255-4AF4-83EE-F2CF2D752A38}" name="Affected Stakeholder Group" dataDxfId="98" dataCellStyle="Normal 2"/>
    <tableColumn id="8" xr3:uid="{4175C6BD-9CF3-4684-8984-D1801FD6D257}" name="Affected Stakeholder Type" dataDxfId="97" dataCellStyle="Normal 2"/>
    <tableColumn id="9" xr3:uid="{33B2DA87-38F9-46ED-ACF6-3FA9760927BC}" name="Percent Affected" dataDxfId="96"/>
    <tableColumn id="10" xr3:uid="{AC32CBFF-0012-4E5F-91A1-8B99F21311CB}" name="Apply to Existing Stakeholders" dataDxfId="95" dataCellStyle="Normal 2"/>
    <tableColumn id="11" xr3:uid="{C4E88C80-E17E-4F3D-9241-542D27B4CAD7}" name="Apply to New Entrants" dataDxfId="94" dataCellStyle="Normal 2"/>
    <tableColumn id="15" xr3:uid="{6844A7FD-391E-4057-939F-FCF18F6AA428}" name="Capital or Labour" dataDxfId="93"/>
    <tableColumn id="16" xr3:uid="{8F229652-99DE-4253-A024-A1F323856A06}" name="Capital: Number of Units" dataDxfId="92"/>
    <tableColumn id="17" xr3:uid="{BB41C012-479C-4840-B52C-496B641DD81E}" name="Capital: Unit Price" dataDxfId="91"/>
    <tableColumn id="18" xr3:uid="{2096BA5D-7391-4C33-A6F7-3AE237FF2546}" name="Capital: Price Year of Unit Price" dataDxfId="90"/>
    <tableColumn id="23" xr3:uid="{89B86BFE-2834-4E04-B671-5056B5F05212}" name="Annual Frequency" dataDxfId="89"/>
    <tableColumn id="22" xr3:uid="{76D19E14-9CED-42BB-9591-CCB81734D9AA}" name="Labour: Time Spent (hours)" dataDxfId="88" dataCellStyle="Comma"/>
    <tableColumn id="19" xr3:uid="{8BB445B7-7287-4EE8-A17F-0EB7CB9FF0D5}" name="Labour: Internal or External Overhead" dataDxfId="87"/>
    <tableColumn id="20" xr3:uid="{115F4724-1DC1-42A9-BE39-2FFAD4403AD2}" name="Labour: Staff Level (Wage Without Overhead)" dataDxfId="86"/>
    <tableColumn id="12" xr3:uid="{FF787A91-CF3E-4C57-A497-F051406D4F66}" name="Error Check" dataDxfId="85">
      <calculatedColumnFormula array="1">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&amp;IF(CheckHighFreq=1, "The frequency should not exceed 365. If an activity happens more than 365 times per year, incoporate the number of instances in the Time Spent variable instead. ", "")
&amp;IF(CheckNoImpact=1, "This activity does not result in any incremental impact. ", "")</calculatedColumnFormula>
    </tableColumn>
    <tableColumn id="13" xr3:uid="{52FC6E35-E9B5-4936-84ED-61D985E22842}" name="Assumptions/Notes" dataDxfId="84"/>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A8418AC1-E797-4E27-B023-6BA8F662E328}" name="tbl_Wages" displayName="tbl_Wages" ref="C14:G66" totalsRowShown="0" headerRowDxfId="83" dataDxfId="81" headerRowBorderDxfId="82" tableBorderDxfId="80" totalsRowBorderDxfId="79">
  <tableColumns count="5">
    <tableColumn id="5" xr3:uid="{546662A6-01A3-4C42-A719-F272AA728E3F}" name="Number" dataDxfId="78" dataCellStyle="Normal 2">
      <calculatedColumnFormula>TEXT(ROW(C15)-ROW(tbl_Wages[[#Headers],[Number]]), "00")</calculatedColumnFormula>
    </tableColumn>
    <tableColumn id="1" xr3:uid="{20F5CDDD-338E-4621-9904-10A5A545C74E}" name="National Occupational Classification (NOC)" dataDxfId="77" dataCellStyle="Normal 2"/>
    <tableColumn id="2" xr3:uid="{D3390B37-54E8-41B2-AC1F-321DA8D5332A}" name="Price year of data source" dataDxfId="76" dataCellStyle="Normal 2"/>
    <tableColumn id="3" xr3:uid="{EDB81478-1C17-4622-92A5-1E9119F79F9B}" name="Wage in price year of data source (without overhead)" dataDxfId="75" dataCellStyle="Normal 2"/>
    <tableColumn id="4" xr3:uid="{9DE1072A-507C-4161-BC2C-B4FE4E367175}" name="Wage in price year of analysis (without overhead)" dataDxfId="74">
      <calculatedColumnFormula>IFERROR(tbl_Wages[[#This Row],[Wage in price year of data source (without overhead)]]*INDEX(tbl_CPI[Index], MATCH(PriceYear, tbl_CPI[Year], 0))/INDEX(tbl_CPI[Index], MATCH(tbl_Wages[[#This Row],[Price year of data source]], tbl_CPI[Year], 0)), "")</calculatedColumnFormula>
    </tableColumn>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5474172-C901-47F7-80F1-48FFF028B333}" name="tbl_CPI" displayName="tbl_CPI" ref="C14:D37" tableType="queryTable" totalsRowShown="0" headerRowDxfId="73" dataDxfId="71" headerRowBorderDxfId="72" tableBorderDxfId="70" totalsRowBorderDxfId="69">
  <tableColumns count="2">
    <tableColumn id="3" xr3:uid="{DA62A898-12CF-4A60-9FEB-00B4385E3C16}" uniqueName="3" name="Year" queryTableFieldId="3" dataDxfId="68"/>
    <tableColumn id="4" xr3:uid="{268D9651-8A8A-453A-AE71-8F05FF58D1B0}" uniqueName="4" name="Index" queryTableFieldId="4" dataDxfId="67"/>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74AEC4FD-E4F0-497B-8601-2428B9B853D0}" name="tbl_NumberWord" displayName="tbl_NumberWord" ref="P33:Q48" totalsRowShown="0">
  <autoFilter ref="P33:Q48" xr:uid="{74AEC4FD-E4F0-497B-8601-2428B9B853D0}"/>
  <tableColumns count="2">
    <tableColumn id="1" xr3:uid="{96838E15-E080-45F4-BEAA-156476B45F4D}" name="Numeral"/>
    <tableColumn id="2" xr3:uid="{CD793EF1-3190-4CEB-A4E9-9866DF5CAE86}" name="Word"/>
  </tableColumns>
  <tableStyleInfo name="TableStyleMedium15"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1.xml"/><Relationship Id="rId3" Type="http://schemas.openxmlformats.org/officeDocument/2006/relationships/hyperlink" Target="https://www.canada.ca/en/government/system/laws/developing-improving-federal-regulations/requirements-developing-managing-reviewing-regulations/guidelines-tools/policy-limiting-regulatory-burden-business.html" TargetMode="External"/><Relationship Id="rId7" Type="http://schemas.openxmlformats.org/officeDocument/2006/relationships/drawing" Target="../drawings/drawing1.xml"/><Relationship Id="rId2" Type="http://schemas.openxmlformats.org/officeDocument/2006/relationships/hyperlink" Target="mailto:CORE-CCR@tbs-sct.gc.ca" TargetMode="External"/><Relationship Id="rId1" Type="http://schemas.openxmlformats.org/officeDocument/2006/relationships/hyperlink" Target="https://web-archive.oecd.org/2012-06-15/153963-34227698.pdf" TargetMode="External"/><Relationship Id="rId6" Type="http://schemas.openxmlformats.org/officeDocument/2006/relationships/printerSettings" Target="../printerSettings/printerSettings1.bin"/><Relationship Id="rId5" Type="http://schemas.openxmlformats.org/officeDocument/2006/relationships/hyperlink" Target="https://wiki.gccollab.ca/File:RCCV4_Beta.xlsx" TargetMode="External"/><Relationship Id="rId4" Type="http://schemas.openxmlformats.org/officeDocument/2006/relationships/hyperlink" Target="https://view.officeapps.live.com/op/view.aspx?src=https%3A%2F%2Fwiki.gccollab.ca%2Fimages%2Fc%2Fc8%2FGuide_on_Limiting_Regulatory_Burden_on_Business_EN_%2528Latest%2529.docx&amp;wdOrigin=BROWSELINK"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11.bin"/><Relationship Id="rId1" Type="http://schemas.openxmlformats.org/officeDocument/2006/relationships/hyperlink" Target="https://www150.statcan.gc.ca/t1/tbl1/en/tv.action?pid=1410034001" TargetMode="External"/><Relationship Id="rId4" Type="http://schemas.openxmlformats.org/officeDocument/2006/relationships/table" Target="../tables/table4.xml"/></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12.bin"/><Relationship Id="rId1" Type="http://schemas.openxmlformats.org/officeDocument/2006/relationships/hyperlink" Target="https://www150.statcan.gc.ca/t1/tbl1/en/tv.action?pid=1810000501" TargetMode="External"/><Relationship Id="rId4" Type="http://schemas.openxmlformats.org/officeDocument/2006/relationships/table" Target="../tables/table5.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drawing" Target="../drawings/drawing16.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F48049-AAA1-4594-9F4B-01B94437C861}">
  <sheetPr>
    <tabColor rgb="FFFFFFFF"/>
    <pageSetUpPr autoPageBreaks="0"/>
  </sheetPr>
  <dimension ref="C1:O55"/>
  <sheetViews>
    <sheetView showGridLines="0" tabSelected="1" zoomScale="90" zoomScaleNormal="90" workbookViewId="0">
      <selection activeCell="D16" sqref="D16"/>
    </sheetView>
  </sheetViews>
  <sheetFormatPr defaultColWidth="9.109375" defaultRowHeight="13.2" x14ac:dyDescent="0.25"/>
  <cols>
    <col min="1" max="2" width="6.109375" style="188" customWidth="1"/>
    <col min="3" max="3" width="36.6640625" style="188" customWidth="1"/>
    <col min="4" max="4" width="12" style="188" customWidth="1"/>
    <col min="5" max="5" width="11.44140625" style="193" customWidth="1"/>
    <col min="6" max="6" width="10" style="194" customWidth="1"/>
    <col min="7" max="14" width="9.109375" style="188"/>
    <col min="15" max="16" width="9.109375" style="188" customWidth="1"/>
    <col min="17" max="16384" width="9.109375" style="188"/>
  </cols>
  <sheetData>
    <row r="1" spans="3:6" ht="12.75" customHeight="1" x14ac:dyDescent="0.25">
      <c r="E1" s="188"/>
      <c r="F1" s="188"/>
    </row>
    <row r="2" spans="3:6" ht="12.75" customHeight="1" x14ac:dyDescent="0.25">
      <c r="E2" s="188"/>
      <c r="F2" s="188"/>
    </row>
    <row r="3" spans="3:6" ht="12.75" customHeight="1" x14ac:dyDescent="0.25">
      <c r="E3" s="188"/>
      <c r="F3" s="188"/>
    </row>
    <row r="4" spans="3:6" ht="12.75" customHeight="1" x14ac:dyDescent="0.25">
      <c r="E4" s="188"/>
      <c r="F4" s="188"/>
    </row>
    <row r="5" spans="3:6" ht="12.75" customHeight="1" x14ac:dyDescent="0.25">
      <c r="E5" s="188"/>
      <c r="F5" s="188"/>
    </row>
    <row r="6" spans="3:6" ht="12.75" customHeight="1" x14ac:dyDescent="0.25">
      <c r="E6" s="188"/>
      <c r="F6" s="188"/>
    </row>
    <row r="7" spans="3:6" ht="12.75" customHeight="1" x14ac:dyDescent="0.25">
      <c r="E7" s="188"/>
      <c r="F7" s="188"/>
    </row>
    <row r="8" spans="3:6" ht="12.75" customHeight="1" x14ac:dyDescent="0.25">
      <c r="E8" s="188"/>
      <c r="F8" s="188"/>
    </row>
    <row r="9" spans="3:6" ht="12.75" customHeight="1" x14ac:dyDescent="0.25">
      <c r="E9" s="188"/>
      <c r="F9" s="188"/>
    </row>
    <row r="10" spans="3:6" ht="12.75" customHeight="1" x14ac:dyDescent="0.25">
      <c r="E10" s="188"/>
      <c r="F10" s="188"/>
    </row>
    <row r="11" spans="3:6" ht="12.75" customHeight="1" x14ac:dyDescent="0.25">
      <c r="E11" s="188"/>
      <c r="F11" s="188"/>
    </row>
    <row r="12" spans="3:6" ht="12.75" customHeight="1" x14ac:dyDescent="0.25">
      <c r="E12" s="188"/>
      <c r="F12" s="188"/>
    </row>
    <row r="13" spans="3:6" ht="12.75" customHeight="1" x14ac:dyDescent="0.25">
      <c r="E13" s="188"/>
      <c r="F13" s="188"/>
    </row>
    <row r="14" spans="3:6" x14ac:dyDescent="0.25">
      <c r="E14" s="188"/>
    </row>
    <row r="15" spans="3:6" x14ac:dyDescent="0.25">
      <c r="E15" s="188"/>
    </row>
    <row r="16" spans="3:6" x14ac:dyDescent="0.25">
      <c r="C16" s="206" t="s">
        <v>66</v>
      </c>
      <c r="D16" s="191">
        <v>4.08</v>
      </c>
      <c r="E16" s="188"/>
      <c r="F16" s="193"/>
    </row>
    <row r="17" spans="3:8" x14ac:dyDescent="0.25">
      <c r="C17" s="206"/>
      <c r="D17" s="191"/>
      <c r="E17" s="188"/>
      <c r="F17" s="193"/>
    </row>
    <row r="18" spans="3:8" x14ac:dyDescent="0.25">
      <c r="C18" s="206" t="s">
        <v>67</v>
      </c>
      <c r="D18" s="209">
        <v>45736</v>
      </c>
      <c r="E18" s="188"/>
      <c r="F18" s="188"/>
    </row>
    <row r="19" spans="3:8" x14ac:dyDescent="0.25">
      <c r="C19" s="206"/>
      <c r="D19" s="209"/>
      <c r="E19" s="188"/>
      <c r="F19" s="188"/>
    </row>
    <row r="20" spans="3:8" x14ac:dyDescent="0.25">
      <c r="C20" s="206" t="s">
        <v>68</v>
      </c>
      <c r="D20" s="232" t="s">
        <v>69</v>
      </c>
      <c r="E20" s="188"/>
      <c r="F20" s="188"/>
    </row>
    <row r="21" spans="3:8" x14ac:dyDescent="0.25">
      <c r="C21" s="206"/>
      <c r="D21" s="232"/>
      <c r="E21" s="188"/>
      <c r="F21" s="188"/>
    </row>
    <row r="22" spans="3:8" ht="13.8" thickBot="1" x14ac:dyDescent="0.3">
      <c r="C22" s="206"/>
      <c r="D22" s="209"/>
      <c r="E22" s="188"/>
      <c r="F22" s="188"/>
    </row>
    <row r="23" spans="3:8" ht="27.6" thickTop="1" thickBot="1" x14ac:dyDescent="0.3">
      <c r="C23" s="212" t="s">
        <v>70</v>
      </c>
      <c r="D23" s="191" t="str" cm="1">
        <f t="array" ref="D23">IF(ISBLANK(Table_0__2[Right-click and Refresh this box to check for a new version]), " Refresh the box to the left.",
IF(NOT(versiondate=Table_0__2[Right-click and Refresh this box to check for a new version]), " A new version is available. Go get it now!",
" This is the current version, based on the last time the box was refreshed."))</f>
        <v xml:space="preserve"> This is the current version, based on the last time the box was refreshed.</v>
      </c>
      <c r="E23" s="188"/>
      <c r="F23" s="188"/>
    </row>
    <row r="24" spans="3:8" ht="15" thickTop="1" x14ac:dyDescent="0.3">
      <c r="C24" s="210">
        <v>45736</v>
      </c>
      <c r="D24" s="211"/>
      <c r="E24" s="188"/>
      <c r="F24" s="188"/>
    </row>
    <row r="25" spans="3:8" x14ac:dyDescent="0.25">
      <c r="C25" s="207"/>
      <c r="D25" s="195"/>
      <c r="E25" s="188"/>
      <c r="F25" s="188"/>
    </row>
    <row r="26" spans="3:8" x14ac:dyDescent="0.25">
      <c r="C26" s="206" t="s">
        <v>71</v>
      </c>
      <c r="D26" s="196" t="s">
        <v>72</v>
      </c>
      <c r="E26" s="188"/>
      <c r="F26" s="188"/>
    </row>
    <row r="27" spans="3:8" x14ac:dyDescent="0.25">
      <c r="C27" s="208"/>
      <c r="D27" s="194" t="s">
        <v>73</v>
      </c>
      <c r="E27" s="188"/>
      <c r="F27" s="193"/>
    </row>
    <row r="28" spans="3:8" x14ac:dyDescent="0.25">
      <c r="C28" s="208"/>
      <c r="D28" s="194" t="s">
        <v>74</v>
      </c>
      <c r="E28" s="188"/>
      <c r="F28" s="193"/>
    </row>
    <row r="29" spans="3:8" x14ac:dyDescent="0.25">
      <c r="C29" s="208"/>
      <c r="D29" s="194"/>
      <c r="E29" s="188"/>
      <c r="F29" s="193"/>
    </row>
    <row r="30" spans="3:8" x14ac:dyDescent="0.25">
      <c r="C30" s="206" t="s">
        <v>75</v>
      </c>
      <c r="D30" s="199" t="s">
        <v>76</v>
      </c>
      <c r="E30" s="188"/>
      <c r="F30" s="193"/>
    </row>
    <row r="31" spans="3:8" x14ac:dyDescent="0.25">
      <c r="C31" s="206"/>
      <c r="D31" s="198"/>
      <c r="E31" s="188"/>
      <c r="F31" s="193"/>
      <c r="H31" s="189"/>
    </row>
    <row r="32" spans="3:8" x14ac:dyDescent="0.25">
      <c r="C32" s="206" t="s">
        <v>77</v>
      </c>
      <c r="D32" s="199" t="s">
        <v>78</v>
      </c>
      <c r="E32" s="188"/>
      <c r="F32" s="193"/>
    </row>
    <row r="33" spans="3:15" x14ac:dyDescent="0.25">
      <c r="C33" s="208"/>
      <c r="D33" s="199" t="s">
        <v>79</v>
      </c>
      <c r="E33" s="188"/>
      <c r="F33" s="193"/>
    </row>
    <row r="34" spans="3:15" x14ac:dyDescent="0.25">
      <c r="C34" s="208"/>
      <c r="D34" s="197"/>
      <c r="E34" s="188"/>
      <c r="F34" s="193"/>
    </row>
    <row r="35" spans="3:15" x14ac:dyDescent="0.25">
      <c r="C35" s="206" t="s">
        <v>80</v>
      </c>
      <c r="D35" s="199" t="s">
        <v>81</v>
      </c>
      <c r="E35" s="188"/>
      <c r="F35" s="193"/>
    </row>
    <row r="36" spans="3:15" x14ac:dyDescent="0.25">
      <c r="C36" s="206"/>
      <c r="D36" s="199"/>
      <c r="E36" s="188"/>
      <c r="F36" s="193"/>
    </row>
    <row r="37" spans="3:15" x14ac:dyDescent="0.25">
      <c r="C37" s="208"/>
      <c r="D37" s="194"/>
      <c r="E37" s="188"/>
      <c r="F37" s="193"/>
    </row>
    <row r="38" spans="3:15" x14ac:dyDescent="0.25">
      <c r="C38" s="206" t="s">
        <v>82</v>
      </c>
      <c r="D38" s="200"/>
      <c r="E38" s="194" t="s">
        <v>83</v>
      </c>
      <c r="F38" s="193"/>
    </row>
    <row r="39" spans="3:15" x14ac:dyDescent="0.25">
      <c r="C39" s="208"/>
      <c r="D39" s="193"/>
      <c r="E39" s="194"/>
      <c r="F39" s="193"/>
    </row>
    <row r="40" spans="3:15" x14ac:dyDescent="0.25">
      <c r="C40" s="208"/>
      <c r="D40" s="201"/>
      <c r="E40" s="194" t="s">
        <v>84</v>
      </c>
      <c r="F40" s="193"/>
    </row>
    <row r="41" spans="3:15" x14ac:dyDescent="0.25">
      <c r="C41" s="208"/>
      <c r="D41" s="193"/>
      <c r="E41" s="194"/>
      <c r="F41" s="193"/>
    </row>
    <row r="42" spans="3:15" x14ac:dyDescent="0.25">
      <c r="C42" s="208"/>
      <c r="D42" s="202"/>
      <c r="E42" s="190" t="s">
        <v>85</v>
      </c>
      <c r="F42" s="193"/>
    </row>
    <row r="43" spans="3:15" x14ac:dyDescent="0.25">
      <c r="C43" s="208"/>
      <c r="D43" s="193"/>
      <c r="E43" s="194"/>
      <c r="F43" s="193"/>
    </row>
    <row r="44" spans="3:15" ht="14.4" x14ac:dyDescent="0.3">
      <c r="C44" s="208"/>
      <c r="D44" s="203"/>
      <c r="E44" s="196" t="s">
        <v>86</v>
      </c>
      <c r="F44" s="193"/>
      <c r="O44"/>
    </row>
    <row r="45" spans="3:15" x14ac:dyDescent="0.25">
      <c r="C45" s="208"/>
      <c r="D45" s="193"/>
      <c r="E45" s="194"/>
      <c r="F45" s="193"/>
    </row>
    <row r="46" spans="3:15" x14ac:dyDescent="0.25">
      <c r="C46" s="208"/>
      <c r="D46" s="204"/>
      <c r="E46" s="190" t="s">
        <v>87</v>
      </c>
      <c r="F46" s="193"/>
    </row>
    <row r="47" spans="3:15" x14ac:dyDescent="0.25">
      <c r="C47" s="208"/>
      <c r="D47" s="193"/>
      <c r="E47" s="190"/>
      <c r="F47" s="193"/>
    </row>
    <row r="48" spans="3:15" x14ac:dyDescent="0.25">
      <c r="C48" s="208"/>
      <c r="D48" s="194"/>
      <c r="E48" s="188"/>
      <c r="F48" s="193"/>
    </row>
    <row r="49" spans="3:6" x14ac:dyDescent="0.25">
      <c r="C49" s="205" t="s">
        <v>88</v>
      </c>
      <c r="D49" s="192" t="s">
        <v>89</v>
      </c>
      <c r="E49" s="194"/>
      <c r="F49" s="193"/>
    </row>
    <row r="50" spans="3:6" x14ac:dyDescent="0.25">
      <c r="C50" s="208"/>
      <c r="D50" s="192" t="s">
        <v>90</v>
      </c>
      <c r="E50" s="194"/>
      <c r="F50" s="193"/>
    </row>
    <row r="51" spans="3:6" x14ac:dyDescent="0.25">
      <c r="C51" s="131"/>
      <c r="D51" s="192" t="s">
        <v>91</v>
      </c>
      <c r="E51" s="194"/>
      <c r="F51" s="193"/>
    </row>
    <row r="52" spans="3:6" x14ac:dyDescent="0.25">
      <c r="C52" s="131"/>
      <c r="D52" s="192" t="s">
        <v>92</v>
      </c>
      <c r="E52" s="194"/>
      <c r="F52" s="193"/>
    </row>
    <row r="53" spans="3:6" x14ac:dyDescent="0.25">
      <c r="C53" s="131"/>
      <c r="D53" s="192" t="s">
        <v>93</v>
      </c>
      <c r="E53" s="194"/>
      <c r="F53" s="193"/>
    </row>
    <row r="55" spans="3:6" x14ac:dyDescent="0.25">
      <c r="E55" s="188"/>
      <c r="F55" s="188"/>
    </row>
  </sheetData>
  <sheetProtection pivotTables="0"/>
  <hyperlinks>
    <hyperlink ref="D30" r:id="rId1" xr:uid="{52FC9264-90E4-4BAC-9996-0F4AD859AFE2}"/>
    <hyperlink ref="D35" r:id="rId2" xr:uid="{7412DF69-C1B8-4138-950B-4C2ABD1CCC86}"/>
    <hyperlink ref="D32" r:id="rId3" xr:uid="{7D531201-4ED6-44D6-B776-A4D5F2AFA559}"/>
    <hyperlink ref="D33" r:id="rId4" xr:uid="{D2A31609-8C6F-42E2-B3F9-7A8EB4B12E9E}"/>
    <hyperlink ref="D20" r:id="rId5" xr:uid="{FD78A6EA-B9DA-4D98-9776-577FF0113A42}"/>
  </hyperlinks>
  <pageMargins left="0.7" right="0.7" top="0.75" bottom="0.75" header="0.3" footer="0.3"/>
  <pageSetup orientation="portrait" r:id="rId6"/>
  <drawing r:id="rId7"/>
  <tableParts count="1">
    <tablePart r:id="rId8"/>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B0717A-2511-4778-B6F8-EC4F3A4F1B5F}">
  <sheetPr codeName="Sheet2">
    <tabColor rgb="FF00B0F0"/>
  </sheetPr>
  <dimension ref="C2:D16"/>
  <sheetViews>
    <sheetView showGridLines="0" zoomScale="115" zoomScaleNormal="115" workbookViewId="0">
      <selection activeCell="D5" sqref="D5"/>
    </sheetView>
  </sheetViews>
  <sheetFormatPr defaultColWidth="8.6640625" defaultRowHeight="14.4" x14ac:dyDescent="0.3"/>
  <cols>
    <col min="1" max="1" width="3" customWidth="1"/>
    <col min="2" max="2" width="3.44140625" customWidth="1"/>
    <col min="3" max="3" width="50.88671875" customWidth="1"/>
    <col min="4" max="4" width="48.6640625" customWidth="1"/>
  </cols>
  <sheetData>
    <row r="2" spans="3:4" ht="15.6" x14ac:dyDescent="0.3">
      <c r="C2" s="11" t="s">
        <v>94</v>
      </c>
    </row>
    <row r="4" spans="3:4" x14ac:dyDescent="0.3">
      <c r="C4" s="25"/>
      <c r="D4" s="26"/>
    </row>
    <row r="5" spans="3:4" ht="31.5" customHeight="1" x14ac:dyDescent="0.3">
      <c r="C5" s="23" t="s">
        <v>95</v>
      </c>
      <c r="D5" s="20"/>
    </row>
    <row r="6" spans="3:4" ht="30.75" customHeight="1" x14ac:dyDescent="0.3">
      <c r="C6" s="23" t="s">
        <v>96</v>
      </c>
      <c r="D6" s="20" t="s">
        <v>97</v>
      </c>
    </row>
    <row r="7" spans="3:4" ht="31.5" customHeight="1" x14ac:dyDescent="0.3">
      <c r="C7" s="23" t="s">
        <v>98</v>
      </c>
      <c r="D7" s="20"/>
    </row>
    <row r="8" spans="3:4" ht="70.5" customHeight="1" x14ac:dyDescent="0.3">
      <c r="C8" s="24" t="s">
        <v>99</v>
      </c>
      <c r="D8" s="21"/>
    </row>
    <row r="9" spans="3:4" x14ac:dyDescent="0.3">
      <c r="C9" s="24" t="s">
        <v>100</v>
      </c>
      <c r="D9" s="45">
        <v>0</v>
      </c>
    </row>
    <row r="10" spans="3:4" x14ac:dyDescent="0.3">
      <c r="C10" s="24" t="s">
        <v>101</v>
      </c>
      <c r="D10" s="45" cm="1">
        <f t="array" ref="D10">Introduced_Formula</f>
        <v>0</v>
      </c>
    </row>
    <row r="11" spans="3:4" x14ac:dyDescent="0.3">
      <c r="C11" s="24" t="s">
        <v>102</v>
      </c>
      <c r="D11" s="20">
        <v>2024</v>
      </c>
    </row>
    <row r="12" spans="3:4" x14ac:dyDescent="0.3">
      <c r="C12" s="24" t="s">
        <v>103</v>
      </c>
      <c r="D12" s="20">
        <v>2025</v>
      </c>
    </row>
    <row r="13" spans="3:4" x14ac:dyDescent="0.3">
      <c r="C13" s="24" t="s">
        <v>104</v>
      </c>
      <c r="D13" s="20">
        <v>2025</v>
      </c>
    </row>
    <row r="14" spans="3:4" x14ac:dyDescent="0.3">
      <c r="C14" s="24" t="s">
        <v>105</v>
      </c>
      <c r="D14" s="20">
        <v>10</v>
      </c>
    </row>
    <row r="15" spans="3:4" x14ac:dyDescent="0.3">
      <c r="C15" s="24" t="s">
        <v>106</v>
      </c>
      <c r="D15" s="22">
        <v>7.0000000000000007E-2</v>
      </c>
    </row>
    <row r="16" spans="3:4" x14ac:dyDescent="0.3">
      <c r="D16" s="245" t="s">
        <v>325</v>
      </c>
    </row>
  </sheetData>
  <protectedRanges>
    <protectedRange password="CC6C" sqref="D6:D7" name="Range1_5"/>
    <protectedRange password="CC6C" sqref="D5" name="Range1_1_1_1"/>
    <protectedRange password="CC6C" sqref="D8" name="Range1_4_1_1"/>
  </protectedRanges>
  <phoneticPr fontId="3" type="noConversion"/>
  <conditionalFormatting sqref="D9">
    <cfRule type="expression" dxfId="66" priority="1">
      <formula>OR($D$6="Multiple Repeal and Replace (One New title)", $D$6="Repeal and Replace", $D$6="Repeal Only")</formula>
    </cfRule>
  </conditionalFormatting>
  <dataValidations xWindow="1240" yWindow="915" count="1">
    <dataValidation type="whole" allowBlank="1" showInputMessage="1" showErrorMessage="1" prompt="If no regulations are being repealed, leave this blank." sqref="D10" xr:uid="{5E382825-B765-448E-9B6A-2FF1AFD996A0}">
      <formula1>0</formula1>
      <formula2>10^6</formula2>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extLst>
    <ext xmlns:x14="http://schemas.microsoft.com/office/spreadsheetml/2009/9/main" uri="{CCE6A557-97BC-4b89-ADB6-D9C93CAAB3DF}">
      <x14:dataValidations xmlns:xm="http://schemas.microsoft.com/office/excel/2006/main" xWindow="1240" yWindow="915" count="7">
        <x14:dataValidation type="list" allowBlank="1" showInputMessage="1" showErrorMessage="1" prompt="This will be Year 1 of the analytical period." xr:uid="{BE5AB2D9-8F8F-472F-8C90-3E5FB1EDC04E}">
          <x14:formula1>
            <xm:f>_xlfn.ANCHORARRAY(Controls!$E$2)</xm:f>
          </x14:formula1>
          <xm:sqref>D12</xm:sqref>
        </x14:dataValidation>
        <x14:dataValidation type="list" allowBlank="1" showInputMessage="1" showErrorMessage="1" prompt="This does not affect the reported one-for-one rule values, since they are always calculated using 2012 as the present value base year." xr:uid="{C2FD05DC-7F1A-4AC2-B606-77B176BBD296}">
          <x14:formula1>
            <xm:f>_xlfn.ANCHORARRAY(Controls!$E$2)</xm:f>
          </x14:formula1>
          <xm:sqref>D13</xm:sqref>
        </x14:dataValidation>
        <x14:dataValidation type="list" allowBlank="1" showInputMessage="1" showErrorMessage="1" prompt="This does not affect the reported one-for-one rule values, since they are always calculated using a 10-year analytical period." xr:uid="{3EF8CE3B-2153-4707-A071-D71655D727B0}">
          <x14:formula1>
            <xm:f>_xlfn.ANCHORARRAY(Controls!$D$2)</xm:f>
          </x14:formula1>
          <xm:sqref>D14</xm:sqref>
        </x14:dataValidation>
        <x14:dataValidation type="list" allowBlank="1" showInputMessage="1" showErrorMessage="1" prompt="This does not affect the reported one-for-one rule values, since they are always calculated using a 7% discount rate." xr:uid="{7F07E6B8-F838-401E-B83E-E73A982859AC}">
          <x14:formula1>
            <xm:f>_xlfn.ANCHORARRAY(Controls!$C$2)</xm:f>
          </x14:formula1>
          <xm:sqref>D15</xm:sqref>
        </x14:dataValidation>
        <x14:dataValidation type="list" allowBlank="1" showInputMessage="1" showErrorMessage="1" prompt="This does not affect the reported one-for-one rule values, since they are always calculated using constant 2012 Canadian dollars." xr:uid="{FF34C5D6-2DF4-42FB-AC0A-C7243CF7A525}">
          <x14:formula1>
            <xm:f>_xlfn.ANCHORARRAY(Controls!$F$2)</xm:f>
          </x14:formula1>
          <xm:sqref>D11</xm:sqref>
        </x14:dataValidation>
        <x14:dataValidation type="list" allowBlank="1" showInputMessage="1" showErrorMessage="1" xr:uid="{E84C42EB-6E3A-47D6-82F2-0516BE5213EC}">
          <x14:formula1>
            <xm:f>Controls!$P$22:$P$26</xm:f>
          </x14:formula1>
          <xm:sqref>D6</xm:sqref>
        </x14:dataValidation>
        <x14:dataValidation type="list" showInputMessage="1" showErrorMessage="1" xr:uid="{503CBD6B-F650-450F-B1E0-C02162334656}">
          <x14:formula1>
            <xm:f>IF(D6=Controls!P22,List_Amendment_Repeal,IF(D6=Controls!P23,List_New_Regulation_Repeal,IF(D6=Controls!P24,List_Repeal_Only,(IF(D6=Controls!P25,List_Repeal_and_Replace_Repeal,TenCount)))))</xm:f>
          </x14:formula1>
          <xm:sqref>D9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0CA19B-F3C3-4ECE-A6BD-C5CF30120828}">
  <sheetPr codeName="Sheet3">
    <tabColor rgb="FF00B0F0"/>
    <pageSetUpPr autoPageBreaks="0"/>
  </sheetPr>
  <dimension ref="A2:K18"/>
  <sheetViews>
    <sheetView showGridLines="0" zoomScaleNormal="100" zoomScaleSheetLayoutView="50" workbookViewId="0">
      <selection activeCell="B17" sqref="B17"/>
    </sheetView>
  </sheetViews>
  <sheetFormatPr defaultColWidth="9.109375" defaultRowHeight="11.4" x14ac:dyDescent="0.3"/>
  <cols>
    <col min="1" max="1" width="12.33203125" style="113" customWidth="1"/>
    <col min="2" max="2" width="31.5546875" style="59" customWidth="1"/>
    <col min="3" max="3" width="15" style="59" customWidth="1"/>
    <col min="4" max="4" width="17.109375" style="59" customWidth="1"/>
    <col min="5" max="5" width="20.109375" style="59" customWidth="1"/>
    <col min="6" max="6" width="16.5546875" style="59" customWidth="1"/>
    <col min="7" max="7" width="16.88671875" style="59" customWidth="1"/>
    <col min="8" max="8" width="16.33203125" style="59" customWidth="1"/>
    <col min="9" max="9" width="17.44140625" style="59" customWidth="1"/>
    <col min="10" max="10" width="19.88671875" style="59" customWidth="1"/>
    <col min="11" max="11" width="27.5546875" style="59" customWidth="1"/>
    <col min="12" max="16384" width="9.109375" style="59"/>
  </cols>
  <sheetData>
    <row r="2" spans="1:11" ht="15.6" x14ac:dyDescent="0.3">
      <c r="B2" s="11" t="s">
        <v>31</v>
      </c>
    </row>
    <row r="3" spans="1:11" ht="12" x14ac:dyDescent="0.3">
      <c r="B3" s="56"/>
    </row>
    <row r="4" spans="1:11" ht="12" x14ac:dyDescent="0.3">
      <c r="B4" s="56"/>
    </row>
    <row r="5" spans="1:11" x14ac:dyDescent="0.2">
      <c r="B5" s="14"/>
      <c r="C5" s="14"/>
      <c r="G5" s="128"/>
    </row>
    <row r="6" spans="1:11" x14ac:dyDescent="0.2">
      <c r="B6" s="14"/>
      <c r="C6" s="14"/>
    </row>
    <row r="7" spans="1:11" x14ac:dyDescent="0.2">
      <c r="B7" s="14"/>
      <c r="C7" s="14"/>
    </row>
    <row r="8" spans="1:11" x14ac:dyDescent="0.2">
      <c r="B8" s="14"/>
      <c r="C8" s="14"/>
    </row>
    <row r="9" spans="1:11" x14ac:dyDescent="0.2">
      <c r="B9" s="14"/>
      <c r="C9" s="14"/>
    </row>
    <row r="10" spans="1:11" x14ac:dyDescent="0.2">
      <c r="B10" s="57" t="s">
        <v>346</v>
      </c>
      <c r="C10" s="14"/>
    </row>
    <row r="11" spans="1:11" x14ac:dyDescent="0.2">
      <c r="B11" s="14"/>
      <c r="C11" s="14"/>
    </row>
    <row r="12" spans="1:11" x14ac:dyDescent="0.2">
      <c r="B12" s="14"/>
      <c r="C12" s="14"/>
    </row>
    <row r="13" spans="1:11" x14ac:dyDescent="0.2">
      <c r="B13" s="14"/>
      <c r="C13" s="14"/>
    </row>
    <row r="14" spans="1:11" x14ac:dyDescent="0.2">
      <c r="B14" s="14"/>
      <c r="C14" s="14"/>
    </row>
    <row r="15" spans="1:11" x14ac:dyDescent="0.2">
      <c r="B15" s="57"/>
    </row>
    <row r="16" spans="1:11" ht="24" x14ac:dyDescent="0.3">
      <c r="A16" s="113" t="str" cm="1">
        <f t="array" ref="A16:A18">_xlfn.LET(_xlpm.rows, ROWS(tbl_Stakeholders[Stakeholder Group]), _xlpm.anyblank, SUM(--ISBLANK(tbl_Stakeholders[Stakeholder Group]))&gt;0, _xlpm.firstblank, MATCH(TRUE,ISBLANK(tbl_Stakeholders[Stakeholder Group]), 0), _xlpm.message, "Type Here ⮚", _xlfn.MAKEARRAY(_xlpm.rows+2, 1, _xlfn.LAMBDA(_xlpm.r,_xlpm.c,  IF(AND(_xlpm.rows=1, _xlpm.anyblank), IF(_xlpm.r=2, _xlpm.message, ""), IF(_xlpm.anyblank, IF(_xlpm.r=_xlpm.firstblank+1, _xlpm.message, ""), IF(_xlpm.r=_xlpm.rows+2, _xlpm.message, ""))))))</f>
        <v/>
      </c>
      <c r="B16" s="46" t="s">
        <v>32</v>
      </c>
      <c r="C16" s="47" t="s">
        <v>33</v>
      </c>
      <c r="D16" s="47" t="s">
        <v>34</v>
      </c>
      <c r="E16" s="47" t="s">
        <v>35</v>
      </c>
      <c r="F16" s="47" t="s">
        <v>36</v>
      </c>
      <c r="G16" s="47" t="s">
        <v>37</v>
      </c>
      <c r="H16" s="47" t="s">
        <v>38</v>
      </c>
      <c r="I16" s="47" t="s">
        <v>39</v>
      </c>
      <c r="J16" s="48" t="s">
        <v>40</v>
      </c>
      <c r="K16" s="47" t="s">
        <v>41</v>
      </c>
    </row>
    <row r="17" spans="1:11" x14ac:dyDescent="0.3">
      <c r="A17" s="113" t="str">
        <v>Type Here ⮚</v>
      </c>
      <c r="B17" s="247"/>
      <c r="C17" s="49"/>
      <c r="D17" s="49"/>
      <c r="E17" s="49"/>
      <c r="F17" s="118"/>
      <c r="G17" s="58"/>
      <c r="H17" s="95"/>
      <c r="I17" s="95"/>
      <c r="J17" s="95"/>
      <c r="K17" s="130"/>
    </row>
    <row r="18" spans="1:11" x14ac:dyDescent="0.3">
      <c r="A18" s="113" t="str">
        <v/>
      </c>
    </row>
  </sheetData>
  <dataValidations xWindow="236" yWindow="429" count="2">
    <dataValidation type="decimal" allowBlank="1" showInputMessage="1" showErrorMessage="1" sqref="H17" xr:uid="{A749AC37-1B48-4834-A9A9-F81DB5477A35}">
      <formula1>-0.99</formula1>
      <formula2>1</formula2>
    </dataValidation>
    <dataValidation allowBlank="1" showInputMessage="1" showErrorMessage="1" prompt="Use a unique name for each stakeholder group." sqref="B17" xr:uid="{6233D5C4-5470-4681-8509-4FBF6E136311}"/>
  </dataValidations>
  <pageMargins left="0.7" right="0.7" top="0.75" bottom="0.75" header="0.3" footer="0.3"/>
  <pageSetup orientation="portrait" horizontalDpi="90" verticalDpi="90" r:id="rId1"/>
  <headerFooter>
    <oddHeader>&amp;R&amp;"Calibri"&amp;12&amp;K000000 PROTECTED B - PROTÉGÉ B&amp;1#_x000D_</oddHeader>
  </headerFooter>
  <drawing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D8C8E2-CF38-4C53-88EF-FF2FE9CC6F54}">
  <sheetPr codeName="Sheet4">
    <tabColor rgb="FF00B0F0"/>
    <pageSetUpPr autoPageBreaks="0"/>
  </sheetPr>
  <dimension ref="A2:V16"/>
  <sheetViews>
    <sheetView showGridLines="0" topLeftCell="A2" zoomScaleNormal="100" zoomScaleSheetLayoutView="50" workbookViewId="0">
      <selection activeCell="B15" sqref="B15"/>
    </sheetView>
  </sheetViews>
  <sheetFormatPr defaultColWidth="9.109375" defaultRowHeight="11.4" outlineLevelCol="1" x14ac:dyDescent="0.2"/>
  <cols>
    <col min="1" max="1" width="11.44140625" style="218" customWidth="1" outlineLevel="1"/>
    <col min="2" max="2" width="30" style="220" customWidth="1"/>
    <col min="3" max="3" width="15.5546875" style="220" customWidth="1"/>
    <col min="4" max="4" width="6.109375" style="220" customWidth="1"/>
    <col min="5" max="5" width="10.44140625" style="220" customWidth="1"/>
    <col min="6" max="7" width="21.88671875" style="220" customWidth="1"/>
    <col min="8" max="8" width="13.109375" style="220" customWidth="1"/>
    <col min="9" max="9" width="13.5546875" style="220" customWidth="1"/>
    <col min="10" max="10" width="10.109375" style="220" customWidth="1"/>
    <col min="11" max="11" width="14.5546875" style="220" customWidth="1"/>
    <col min="12" max="12" width="10.109375" style="220" customWidth="1"/>
    <col min="13" max="13" width="12.33203125" style="220" customWidth="1"/>
    <col min="14" max="14" width="9.33203125" style="220" customWidth="1" outlineLevel="1"/>
    <col min="15" max="15" width="9.5546875" style="220" customWidth="1" outlineLevel="1"/>
    <col min="16" max="16" width="10.5546875" style="220" customWidth="1" outlineLevel="1"/>
    <col min="17" max="17" width="11.33203125" style="220" customWidth="1"/>
    <col min="18" max="18" width="16.109375" style="220" customWidth="1"/>
    <col min="19" max="19" width="12.33203125" style="220" customWidth="1"/>
    <col min="20" max="20" width="30.88671875" style="220" customWidth="1"/>
    <col min="21" max="21" width="51" style="39" customWidth="1" outlineLevel="1"/>
    <col min="22" max="22" width="24.6640625" style="220" customWidth="1" outlineLevel="1"/>
    <col min="23" max="16384" width="9.109375" style="220"/>
  </cols>
  <sheetData>
    <row r="2" spans="1:22" ht="15.6" x14ac:dyDescent="0.3">
      <c r="B2" s="219" t="s">
        <v>42</v>
      </c>
      <c r="N2" s="221"/>
    </row>
    <row r="3" spans="1:22" ht="12" x14ac:dyDescent="0.25">
      <c r="B3" s="222"/>
      <c r="N3" s="221"/>
    </row>
    <row r="4" spans="1:22" ht="15" customHeight="1" x14ac:dyDescent="0.25">
      <c r="B4" s="222"/>
      <c r="H4" s="243"/>
      <c r="I4" s="243"/>
      <c r="J4" s="243"/>
      <c r="K4" s="243"/>
      <c r="L4" s="243"/>
      <c r="M4" s="243"/>
      <c r="N4" s="243"/>
      <c r="O4" s="243"/>
      <c r="P4" s="243"/>
      <c r="Q4" s="243"/>
      <c r="R4" s="243"/>
      <c r="S4" s="243"/>
      <c r="T4" s="243"/>
      <c r="U4" s="243"/>
    </row>
    <row r="5" spans="1:22" x14ac:dyDescent="0.2">
      <c r="H5" s="243"/>
      <c r="I5" s="243"/>
      <c r="J5" s="243"/>
      <c r="K5" s="243"/>
      <c r="L5" s="243"/>
      <c r="M5" s="243"/>
      <c r="N5" s="243"/>
      <c r="O5" s="243"/>
      <c r="P5" s="243"/>
      <c r="Q5" s="243"/>
      <c r="R5" s="243"/>
      <c r="S5" s="243"/>
      <c r="T5" s="243"/>
      <c r="U5" s="243"/>
    </row>
    <row r="6" spans="1:22" x14ac:dyDescent="0.2">
      <c r="H6" s="243"/>
      <c r="I6" s="243"/>
      <c r="J6" s="243"/>
      <c r="K6" s="243"/>
      <c r="L6" s="243"/>
      <c r="M6" s="243"/>
      <c r="N6" s="243"/>
      <c r="O6" s="243"/>
      <c r="P6" s="243"/>
      <c r="Q6" s="243"/>
      <c r="R6" s="243"/>
      <c r="S6" s="243"/>
      <c r="T6" s="243"/>
      <c r="U6" s="243"/>
    </row>
    <row r="7" spans="1:22" x14ac:dyDescent="0.2">
      <c r="H7" s="243"/>
      <c r="I7" s="243"/>
      <c r="K7" s="243"/>
      <c r="L7" s="243"/>
      <c r="M7" s="243"/>
      <c r="N7" s="243"/>
      <c r="O7" s="243"/>
      <c r="P7" s="243"/>
      <c r="Q7" s="243"/>
      <c r="R7" s="243"/>
      <c r="S7" s="243"/>
      <c r="T7" s="243"/>
      <c r="U7" s="243"/>
    </row>
    <row r="8" spans="1:22" x14ac:dyDescent="0.2">
      <c r="H8" s="243"/>
      <c r="I8" s="243"/>
      <c r="J8" s="243"/>
      <c r="K8" s="243"/>
      <c r="L8" s="243"/>
      <c r="M8" s="243"/>
      <c r="N8" s="243"/>
      <c r="O8" s="243"/>
      <c r="P8" s="243"/>
      <c r="Q8" s="243"/>
      <c r="R8" s="243"/>
      <c r="S8" s="243"/>
      <c r="U8" s="243"/>
    </row>
    <row r="9" spans="1:22" ht="14.4" x14ac:dyDescent="0.3">
      <c r="B9" s="258"/>
      <c r="N9" s="221"/>
      <c r="T9" s="223"/>
      <c r="U9"/>
    </row>
    <row r="10" spans="1:22" ht="12" x14ac:dyDescent="0.2">
      <c r="N10" s="221"/>
      <c r="T10" s="223"/>
    </row>
    <row r="11" spans="1:22" ht="12" x14ac:dyDescent="0.2">
      <c r="N11" s="221"/>
      <c r="T11" s="223"/>
    </row>
    <row r="12" spans="1:22" ht="12" x14ac:dyDescent="0.2">
      <c r="N12" s="221"/>
      <c r="T12" s="223"/>
    </row>
    <row r="13" spans="1:22" ht="12" x14ac:dyDescent="0.2">
      <c r="B13" s="224"/>
      <c r="N13" s="221"/>
      <c r="T13" s="223"/>
    </row>
    <row r="14" spans="1:22" ht="48" x14ac:dyDescent="0.2">
      <c r="A14" s="225" t="str" cm="1">
        <f t="array" ref="A14:A16">_xlfn.LET(_xlpm.rows,ROWS(tbl_Activities[Activity]),_xlpm.anyblank,SUM(Checkblank)&lt;_xlpm.rows,_xlpm.firstblank,MATCH(0,Checkblank,0),_xlpm.message,"Type Here ⮚", _xlfn.MAKEARRAY(_xlpm.rows+2,1,_xlfn.LAMBDA(_xlpm.r,_xlpm.c,IF(AND(_xlpm.rows=1, _xlpm.anyblank),IF(_xlpm.r=2,_xlpm.message,""),IF(_xlpm.anyblank,IF(_xlpm.r=_xlpm.firstblank+1,_xlpm.message,""),IF(_xlpm.r=_xlpm.rows+2,_xlpm.message,""))))))</f>
        <v/>
      </c>
      <c r="B14" s="226" t="s">
        <v>43</v>
      </c>
      <c r="C14" s="227" t="s">
        <v>44</v>
      </c>
      <c r="D14" s="227" t="s">
        <v>45</v>
      </c>
      <c r="E14" s="227" t="s">
        <v>46</v>
      </c>
      <c r="F14" s="227" t="s">
        <v>47</v>
      </c>
      <c r="G14" s="227" t="s">
        <v>48</v>
      </c>
      <c r="H14" s="227" t="s">
        <v>49</v>
      </c>
      <c r="I14" s="227" t="s">
        <v>50</v>
      </c>
      <c r="J14" s="228" t="s">
        <v>9</v>
      </c>
      <c r="K14" s="227" t="s">
        <v>51</v>
      </c>
      <c r="L14" s="227" t="s">
        <v>52</v>
      </c>
      <c r="M14" s="227" t="s">
        <v>53</v>
      </c>
      <c r="N14" s="227" t="s">
        <v>54</v>
      </c>
      <c r="O14" s="227" t="s">
        <v>55</v>
      </c>
      <c r="P14" s="227" t="s">
        <v>56</v>
      </c>
      <c r="Q14" s="227" t="s">
        <v>57</v>
      </c>
      <c r="R14" s="227" t="s">
        <v>58</v>
      </c>
      <c r="S14" s="227" t="s">
        <v>59</v>
      </c>
      <c r="T14" s="227" t="s">
        <v>60</v>
      </c>
      <c r="U14" s="230" t="s">
        <v>61</v>
      </c>
      <c r="V14" s="229" t="s">
        <v>41</v>
      </c>
    </row>
    <row r="15" spans="1:22" ht="34.200000000000003" x14ac:dyDescent="0.2">
      <c r="A15" s="218" t="str">
        <v>Type Here ⮚</v>
      </c>
      <c r="B15" s="119"/>
      <c r="C15" s="49"/>
      <c r="D15" s="49"/>
      <c r="E15" s="49"/>
      <c r="F15" s="233"/>
      <c r="G15" s="233"/>
      <c r="H15" s="49"/>
      <c r="I15" s="49"/>
      <c r="J15" s="242"/>
      <c r="K15" s="49"/>
      <c r="L15" s="49"/>
      <c r="M15" s="234"/>
      <c r="N15" s="235"/>
      <c r="O15" s="117"/>
      <c r="P15" s="235"/>
      <c r="Q15" s="236"/>
      <c r="R15" s="132"/>
      <c r="S15" s="234"/>
      <c r="T15" s="234"/>
      <c r="U15" s="231" t="str" cm="1">
        <f t="array" ref="U15">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&amp;IF(CheckHighFreq=1, "The frequency should not exceed 365. If an activity happens more than 365 times per year, incoporate the number of instances in the Time Spent variable instead. ", "")
&amp;IF(CheckNoImpact=1, "This activity does not result in any incremental impact. ", "")</f>
        <v xml:space="preserve">Some information is missing for this activity. This activity does not apply to anyone. This activity does not result in any incremental impact. </v>
      </c>
      <c r="V15" s="237"/>
    </row>
    <row r="16" spans="1:22" x14ac:dyDescent="0.2">
      <c r="A16" s="218" t="str">
        <v/>
      </c>
    </row>
  </sheetData>
  <sheetProtection formatCells="0" formatColumns="0" formatRows="0" insertColumns="0" insertRows="0" insertHyperlinks="0" deleteColumns="0" deleteRows="0" sort="0" autoFilter="0" pivotTables="0"/>
  <phoneticPr fontId="3" type="noConversion"/>
  <conditionalFormatting sqref="N15:P15">
    <cfRule type="expression" dxfId="65" priority="2">
      <formula>$M15="Capital"</formula>
    </cfRule>
  </conditionalFormatting>
  <conditionalFormatting sqref="R15:T15">
    <cfRule type="expression" dxfId="64" priority="3">
      <formula>$M15="Capital"</formula>
    </cfRule>
  </conditionalFormatting>
  <conditionalFormatting sqref="U15">
    <cfRule type="expression" dxfId="63" priority="4">
      <formula>IF(U15="This activity does not result in any incremental impact. ", 1, 0)</formula>
    </cfRule>
    <cfRule type="notContainsBlanks" dxfId="62" priority="178">
      <formula>LEN(TRIM(U15))&gt;0</formula>
    </cfRule>
    <cfRule type="containsBlanks" dxfId="61" priority="178">
      <formula>LEN(TRIM(U15))=0</formula>
    </cfRule>
  </conditionalFormatting>
  <dataValidations xWindow="1516" yWindow="753" count="9">
    <dataValidation type="list" allowBlank="1" showInputMessage="1" showErrorMessage="1" sqref="E15" xr:uid="{86DA5521-AFF9-4C60-985D-287C7C539BE5}">
      <formula1>"Upfront, Ongoing"</formula1>
    </dataValidation>
    <dataValidation type="list" allowBlank="1" showInputMessage="1" showErrorMessage="1" prompt="For the small business lens and the cost-benefit statement, OUTs are reported as Benefits and INs are reported as Costs. " sqref="D15" xr:uid="{4A7BDBD0-1019-4DE4-993B-17949E5B71D7}">
      <formula1>"In, Out"</formula1>
    </dataValidation>
    <dataValidation type="list" allowBlank="1" showInputMessage="1" showErrorMessage="1" sqref="C15" xr:uid="{09DEC4F2-670E-4DF6-9718-F466BEC05DE2}">
      <formula1>"Administrative, Compliance"</formula1>
    </dataValidation>
    <dataValidation type="list" allowBlank="1" showInputMessage="1" showErrorMessage="1" sqref="I15" xr:uid="{853F383D-0D5F-4578-B31E-254B2DBF59D5}">
      <formula1>"Small Businesses, Med/Large Businesses, All Businesses, All Non-Businesses, All Types"</formula1>
    </dataValidation>
    <dataValidation type="list" allowBlank="1" showInputMessage="1" showErrorMessage="1" prompt="If an activity requires both capital and labour, they have to be entered on separate lines." sqref="M15" xr:uid="{BD366CD8-2884-44CA-8E1F-EC8B1038547A}">
      <formula1>"Capital, Labour"</formula1>
    </dataValidation>
    <dataValidation type="decimal" allowBlank="1" showInputMessage="1" showErrorMessage="1" sqref="J15" xr:uid="{499C32DE-C682-4D6C-B90F-7C945357B6B6}">
      <formula1>0</formula1>
      <formula2>1</formula2>
    </dataValidation>
    <dataValidation type="list" allowBlank="1" showInputMessage="1" showErrorMessage="1" prompt="If this column is blank, no overhead will be added to the wage." sqref="S15" xr:uid="{FC52AB71-9D1D-4B64-9F4F-1FD0A579E912}">
      <formula1>"Internal (25%), External (50%)"</formula1>
    </dataValidation>
    <dataValidation type="list" allowBlank="1" showInputMessage="1" showErrorMessage="1" sqref="K15:L15" xr:uid="{E477523E-91CF-4DDD-9C96-C94800CF61AC}">
      <formula1>"Yes, No"</formula1>
    </dataValidation>
    <dataValidation allowBlank="1" showInputMessage="1" showErrorMessage="1" prompt="If this column does not contain a formula then the Error Check functionality will not work. To fix this issue, enter &quot;=ErrorCheck&quot; to bring it back. Click and drag down over all the rows, if necessary. " sqref="U15" xr:uid="{8D7FB6E1-9F2E-44FD-B0CB-717D1931D95F}"/>
  </dataValidations>
  <pageMargins left="0.7" right="0.7" top="0.75" bottom="0.75" header="0.3" footer="0.3"/>
  <pageSetup orientation="portrait" horizontalDpi="90" verticalDpi="90" r:id="rId1"/>
  <headerFooter>
    <oddHeader>&amp;R&amp;"Calibri"&amp;12&amp;K000000 PROTECTED B - PROTÉGÉ B&amp;1#_x000D_</oddHeader>
  </headerFooter>
  <drawing r:id="rId2"/>
  <tableParts count="1">
    <tablePart r:id="rId3"/>
  </tableParts>
  <extLst>
    <ext xmlns:x14="http://schemas.microsoft.com/office/spreadsheetml/2009/9/main" uri="{CCE6A557-97BC-4b89-ADB6-D9C93CAAB3DF}">
      <x14:dataValidations xmlns:xm="http://schemas.microsoft.com/office/excel/2006/main" xWindow="1516" yWindow="753" count="4">
        <x14:dataValidation type="list" allowBlank="1" showInputMessage="1" showErrorMessage="1" xr:uid="{B26B5E06-D7E9-49CA-B898-72981AED42E4}">
          <x14:formula1>
            <xm:f>_xlfn.ANCHORARRAY(Controls!$I$2)</xm:f>
          </x14:formula1>
          <xm:sqref>T15</xm:sqref>
        </x14:dataValidation>
        <x14:dataValidation type="list" allowBlank="1" showInputMessage="1" showErrorMessage="1" xr:uid="{DB31E2F3-2C81-4532-B8FD-FF0C32BB89DC}">
          <x14:formula1>
            <xm:f>_xlfn.ANCHORARRAY(Controls!$B$2)</xm:f>
          </x14:formula1>
          <xm:sqref>H15</xm:sqref>
        </x14:dataValidation>
        <x14:dataValidation type="list" allowBlank="1" showInputMessage="1" showErrorMessage="1" xr:uid="{D2C18BA7-5D97-4E84-90B5-0FCDA526DC6F}">
          <x14:formula1>
            <xm:f>_xlfn.ANCHORARRAY(Controls!$G$2)</xm:f>
          </x14:formula1>
          <xm:sqref>F15:G15</xm:sqref>
        </x14:dataValidation>
        <x14:dataValidation type="list" allowBlank="1" showInputMessage="1" showErrorMessage="1" xr:uid="{C1596F26-4AED-447D-869D-AA37CCB5AAD9}">
          <x14:formula1>
            <xm:f>_xlfn.ANCHORARRAY(Controls!$F$2)</xm:f>
          </x14:formula1>
          <xm:sqref>P15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4CB004-082C-4AE4-AD0D-7A2FC514A788}">
  <sheetPr codeName="Sheet6">
    <tabColor rgb="FF92D050"/>
  </sheetPr>
  <dimension ref="B2:N47"/>
  <sheetViews>
    <sheetView showGridLines="0" zoomScale="115" zoomScaleNormal="115" workbookViewId="0">
      <selection activeCell="C17" sqref="C17"/>
    </sheetView>
  </sheetViews>
  <sheetFormatPr defaultColWidth="9.109375" defaultRowHeight="11.4" x14ac:dyDescent="0.2"/>
  <cols>
    <col min="1" max="1" width="4" style="14" customWidth="1"/>
    <col min="2" max="2" width="72.33203125" style="19" customWidth="1"/>
    <col min="3" max="3" width="17.88671875" style="14" customWidth="1"/>
    <col min="4" max="14" width="15.88671875" style="14" customWidth="1"/>
    <col min="15" max="16384" width="9.109375" style="14"/>
  </cols>
  <sheetData>
    <row r="2" spans="2:3" ht="15.6" x14ac:dyDescent="0.3">
      <c r="B2" s="33" t="s">
        <v>107</v>
      </c>
    </row>
    <row r="3" spans="2:3" ht="12" x14ac:dyDescent="0.25">
      <c r="B3" s="34"/>
    </row>
    <row r="4" spans="2:3" ht="12" x14ac:dyDescent="0.25">
      <c r="B4" s="34"/>
    </row>
    <row r="5" spans="2:3" ht="12" x14ac:dyDescent="0.2">
      <c r="B5" s="28" t="s">
        <v>108</v>
      </c>
    </row>
    <row r="6" spans="2:3" x14ac:dyDescent="0.2">
      <c r="B6" s="83" t="s">
        <v>109</v>
      </c>
      <c r="C6" s="129">
        <f>SUM(tbl_Stakeholders[Total Business Count])</f>
        <v>0</v>
      </c>
    </row>
    <row r="7" spans="2:3" x14ac:dyDescent="0.2">
      <c r="B7" s="84" t="s">
        <v>110</v>
      </c>
      <c r="C7" s="85" t="str">
        <f>"10 ("&amp;YearOfRegistration&amp;" to "&amp;YearOfRegistration+10-1&amp;")"</f>
        <v>10 (2025 to 2034)</v>
      </c>
    </row>
    <row r="8" spans="2:3" x14ac:dyDescent="0.2">
      <c r="B8" s="84" t="s">
        <v>111</v>
      </c>
      <c r="C8" s="85">
        <v>2012</v>
      </c>
    </row>
    <row r="9" spans="2:3" x14ac:dyDescent="0.2">
      <c r="B9" s="84" t="s">
        <v>112</v>
      </c>
      <c r="C9" s="86">
        <v>7.0000000000000007E-2</v>
      </c>
    </row>
    <row r="10" spans="2:3" x14ac:dyDescent="0.2">
      <c r="B10" s="87" t="s">
        <v>113</v>
      </c>
      <c r="C10" s="88">
        <v>2012</v>
      </c>
    </row>
    <row r="11" spans="2:3" ht="12" x14ac:dyDescent="0.25">
      <c r="B11" s="35"/>
      <c r="C11" s="29"/>
    </row>
    <row r="12" spans="2:3" ht="12" x14ac:dyDescent="0.25">
      <c r="B12" s="35"/>
      <c r="C12" s="29"/>
    </row>
    <row r="13" spans="2:3" ht="12" x14ac:dyDescent="0.25">
      <c r="B13" s="35"/>
      <c r="C13" s="29"/>
    </row>
    <row r="14" spans="2:3" ht="12" x14ac:dyDescent="0.2">
      <c r="B14" s="28" t="s">
        <v>114</v>
      </c>
      <c r="C14" s="29"/>
    </row>
    <row r="15" spans="2:3" x14ac:dyDescent="0.2">
      <c r="B15" s="60" t="s">
        <v>115</v>
      </c>
      <c r="C15" s="63">
        <f>$M$47</f>
        <v>0</v>
      </c>
    </row>
    <row r="16" spans="2:3" x14ac:dyDescent="0.2">
      <c r="B16" s="61" t="s">
        <v>116</v>
      </c>
      <c r="C16" s="64">
        <f>IFERROR($C$15/$C$6, 0)</f>
        <v>0</v>
      </c>
    </row>
    <row r="17" spans="2:14" ht="12" x14ac:dyDescent="0.25">
      <c r="B17" s="61" t="s">
        <v>117</v>
      </c>
      <c r="C17" s="106">
        <f>$C$15*AF_7_10</f>
        <v>0</v>
      </c>
    </row>
    <row r="18" spans="2:14" x14ac:dyDescent="0.2">
      <c r="B18" s="62" t="s">
        <v>118</v>
      </c>
      <c r="C18" s="65">
        <f>IFERROR($C$17/$C$6, 0)</f>
        <v>0</v>
      </c>
    </row>
    <row r="19" spans="2:14" x14ac:dyDescent="0.2">
      <c r="B19" s="30" t="s">
        <v>119</v>
      </c>
    </row>
    <row r="20" spans="2:14" x14ac:dyDescent="0.2">
      <c r="B20" s="36"/>
    </row>
    <row r="21" spans="2:14" x14ac:dyDescent="0.2">
      <c r="B21" s="39" t="str" cm="1">
        <f t="array" ref="B21">IF(NoErrors, "", IF(OneError, "There is an unresolved error on the Activities sheet.", "There are unresolved errors on the Activities sheet."))</f>
        <v>There is an unresolved error on the Activities sheet.</v>
      </c>
    </row>
    <row r="22" spans="2:14" x14ac:dyDescent="0.2">
      <c r="B22" s="36"/>
    </row>
    <row r="23" spans="2:14" ht="22.8" x14ac:dyDescent="0.4">
      <c r="B23" s="259" t="s">
        <v>120</v>
      </c>
    </row>
    <row r="24" spans="2:14" ht="409.5" customHeight="1" x14ac:dyDescent="0.2">
      <c r="B24" s="96" t="str">
        <f>OneforOneText</f>
        <v>The one-for-one rule does not apply as there is no impact on business.</v>
      </c>
      <c r="C24" s="89"/>
      <c r="D24" s="90"/>
      <c r="E24" s="90"/>
    </row>
    <row r="26" spans="2:14" ht="12" x14ac:dyDescent="0.2">
      <c r="B26" s="31" t="s">
        <v>121</v>
      </c>
    </row>
    <row r="27" spans="2:14" ht="12" x14ac:dyDescent="0.2">
      <c r="B27" s="31"/>
    </row>
    <row r="28" spans="2:14" ht="12" x14ac:dyDescent="0.2">
      <c r="B28" s="28" t="s">
        <v>122</v>
      </c>
    </row>
    <row r="29" spans="2:14" ht="12" x14ac:dyDescent="0.25">
      <c r="B29" s="37" t="s">
        <v>123</v>
      </c>
      <c r="C29" s="9" cm="1">
        <f t="array" ref="C29:L29">_xlfn.SEQUENCE(,10, YearOfRegistration)</f>
        <v>2025</v>
      </c>
      <c r="D29" s="9">
        <v>2026</v>
      </c>
      <c r="E29" s="9">
        <v>2027</v>
      </c>
      <c r="F29" s="9">
        <v>2028</v>
      </c>
      <c r="G29" s="9">
        <v>2029</v>
      </c>
      <c r="H29" s="9">
        <v>2030</v>
      </c>
      <c r="I29" s="9">
        <v>2031</v>
      </c>
      <c r="J29" s="9">
        <v>2032</v>
      </c>
      <c r="K29" s="9">
        <v>2033</v>
      </c>
      <c r="L29" s="9">
        <v>2034</v>
      </c>
      <c r="M29" s="8" t="s">
        <v>1</v>
      </c>
      <c r="N29" s="8" t="s">
        <v>124</v>
      </c>
    </row>
    <row r="30" spans="2:14" x14ac:dyDescent="0.2">
      <c r="B30" s="38" t="str">
        <f>"Undiscounted Impacts ("&amp;PriceYear&amp;" price year)"</f>
        <v>Undiscounted Impacts (2024 price year)</v>
      </c>
      <c r="C30" s="10" cm="1">
        <f t="array" ref="C30:L30">SUMIFS(_xlfn.ANCHORARRAY('Full Output'!Q2),_xlfn.ANCHORARRAY( 'Full Output'!C2), "Administrative",_xlfn.ANCHORARRAY( 'Full Output'!D2), "In",_xlfn.ANCHORARRAY( 'Full Output'!E2),_xlfn.ANCHORARRAY( C29))</f>
        <v>0</v>
      </c>
      <c r="D30" s="10">
        <v>0</v>
      </c>
      <c r="E30" s="10">
        <v>0</v>
      </c>
      <c r="F30" s="10">
        <v>0</v>
      </c>
      <c r="G30" s="10">
        <v>0</v>
      </c>
      <c r="H30" s="10">
        <v>0</v>
      </c>
      <c r="I30" s="10">
        <v>0</v>
      </c>
      <c r="J30" s="10">
        <v>0</v>
      </c>
      <c r="K30" s="10">
        <v>0</v>
      </c>
      <c r="L30" s="10">
        <v>0</v>
      </c>
      <c r="M30" s="10">
        <f>SUM(_xlfn.ANCHORARRAY(C30))</f>
        <v>0</v>
      </c>
      <c r="N30" s="10" t="s">
        <v>125</v>
      </c>
    </row>
    <row r="31" spans="2:14" x14ac:dyDescent="0.2">
      <c r="B31" s="38" t="str">
        <f>"Discounted Impacts ("&amp;PriceYear&amp;" price year, 7% discount rate, "&amp;PVBaseYear&amp; " discount base year)"</f>
        <v>Discounted Impacts (2024 price year, 7% discount rate, 2025 discount base year)</v>
      </c>
      <c r="C31" s="10" cm="1">
        <f t="array" ref="C31:L31">SUMIFS(_xlfn.ANCHORARRAY('Full Output'!X2),_xlfn.ANCHORARRAY( 'Full Output'!D2), "In",_xlfn.ANCHORARRAY( 'Full Output'!E2),_xlfn.ANCHORARRAY( C29))</f>
        <v>0</v>
      </c>
      <c r="D31" s="10">
        <v>0</v>
      </c>
      <c r="E31" s="10">
        <v>0</v>
      </c>
      <c r="F31" s="10">
        <v>0</v>
      </c>
      <c r="G31" s="10">
        <v>0</v>
      </c>
      <c r="H31" s="10">
        <v>0</v>
      </c>
      <c r="I31" s="10">
        <v>0</v>
      </c>
      <c r="J31" s="10">
        <v>0</v>
      </c>
      <c r="K31" s="10">
        <v>0</v>
      </c>
      <c r="L31" s="10">
        <v>0</v>
      </c>
      <c r="M31" s="10">
        <f>SUM(_xlfn.ANCHORARRAY(C31))</f>
        <v>0</v>
      </c>
      <c r="N31" s="10">
        <f>M31*AF_7_10</f>
        <v>0</v>
      </c>
    </row>
    <row r="32" spans="2:14" x14ac:dyDescent="0.2">
      <c r="B32" s="38" t="s">
        <v>126</v>
      </c>
      <c r="C32" s="10" cm="1">
        <f t="array" ref="C32:L32">_xlfn.ANCHORARRAY(C30)*OneforOne_CPI_Conversion</f>
        <v>0</v>
      </c>
      <c r="D32" s="10">
        <v>0</v>
      </c>
      <c r="E32" s="10">
        <v>0</v>
      </c>
      <c r="F32" s="10">
        <v>0</v>
      </c>
      <c r="G32" s="10">
        <v>0</v>
      </c>
      <c r="H32" s="10">
        <v>0</v>
      </c>
      <c r="I32" s="10">
        <v>0</v>
      </c>
      <c r="J32" s="10">
        <v>0</v>
      </c>
      <c r="K32" s="10">
        <v>0</v>
      </c>
      <c r="L32" s="10">
        <v>0</v>
      </c>
      <c r="M32" s="10">
        <f>SUM(_xlfn.ANCHORARRAY(C32))</f>
        <v>0</v>
      </c>
      <c r="N32" s="10" t="s">
        <v>125</v>
      </c>
    </row>
    <row r="33" spans="2:14" x14ac:dyDescent="0.2">
      <c r="B33" s="38" t="s">
        <v>127</v>
      </c>
      <c r="C33" s="10" cm="1">
        <f t="array" ref="C33:L33">_xlfn.ANCHORARRAY(C31)*OneforOne_CPI_Conversion/(1.07)^Years_since_2012</f>
        <v>0</v>
      </c>
      <c r="D33" s="10">
        <v>0</v>
      </c>
      <c r="E33" s="10">
        <v>0</v>
      </c>
      <c r="F33" s="10">
        <v>0</v>
      </c>
      <c r="G33" s="10">
        <v>0</v>
      </c>
      <c r="H33" s="10">
        <v>0</v>
      </c>
      <c r="I33" s="10">
        <v>0</v>
      </c>
      <c r="J33" s="10">
        <v>0</v>
      </c>
      <c r="K33" s="10">
        <v>0</v>
      </c>
      <c r="L33" s="10">
        <v>0</v>
      </c>
      <c r="M33" s="10">
        <f>SUM(_xlfn.ANCHORARRAY(C33))</f>
        <v>0</v>
      </c>
      <c r="N33" s="10">
        <f>M33*AF_7_10</f>
        <v>0</v>
      </c>
    </row>
    <row r="34" spans="2:14" x14ac:dyDescent="0.2">
      <c r="B34" s="32"/>
    </row>
    <row r="35" spans="2:14" ht="12" x14ac:dyDescent="0.2">
      <c r="B35" s="28" t="s">
        <v>128</v>
      </c>
    </row>
    <row r="36" spans="2:14" ht="12" x14ac:dyDescent="0.25">
      <c r="B36" s="37" t="s">
        <v>123</v>
      </c>
      <c r="C36" s="9" cm="1">
        <f t="array" ref="C36:L36">_xlfn.SEQUENCE(,10, YearOfRegistration)</f>
        <v>2025</v>
      </c>
      <c r="D36" s="9">
        <v>2026</v>
      </c>
      <c r="E36" s="9">
        <v>2027</v>
      </c>
      <c r="F36" s="9">
        <v>2028</v>
      </c>
      <c r="G36" s="9">
        <v>2029</v>
      </c>
      <c r="H36" s="9">
        <v>2030</v>
      </c>
      <c r="I36" s="9">
        <v>2031</v>
      </c>
      <c r="J36" s="9">
        <v>2032</v>
      </c>
      <c r="K36" s="9">
        <v>2033</v>
      </c>
      <c r="L36" s="9">
        <v>2034</v>
      </c>
      <c r="M36" s="8" t="s">
        <v>1</v>
      </c>
      <c r="N36" s="8" t="s">
        <v>124</v>
      </c>
    </row>
    <row r="37" spans="2:14" x14ac:dyDescent="0.2">
      <c r="B37" s="38" t="str">
        <f>"Undiscounted Impacts ("&amp;PriceYear&amp;" price year)"</f>
        <v>Undiscounted Impacts (2024 price year)</v>
      </c>
      <c r="C37" s="10" cm="1">
        <f t="array" ref="C37:L37">-SUMIFS(_xlfn.ANCHORARRAY('Full Output'!Q2),_xlfn.ANCHORARRAY( 'Full Output'!C2), "Administrative",_xlfn.ANCHORARRAY( 'Full Output'!D2), "Out",_xlfn.ANCHORARRAY( 'Full Output'!E2),_xlfn.ANCHORARRAY( C36))</f>
        <v>0</v>
      </c>
      <c r="D37" s="10">
        <v>0</v>
      </c>
      <c r="E37" s="10">
        <v>0</v>
      </c>
      <c r="F37" s="10">
        <v>0</v>
      </c>
      <c r="G37" s="10">
        <v>0</v>
      </c>
      <c r="H37" s="10">
        <v>0</v>
      </c>
      <c r="I37" s="10">
        <v>0</v>
      </c>
      <c r="J37" s="10">
        <v>0</v>
      </c>
      <c r="K37" s="10">
        <v>0</v>
      </c>
      <c r="L37" s="10">
        <v>0</v>
      </c>
      <c r="M37" s="10">
        <f>SUM(_xlfn.ANCHORARRAY(C37))</f>
        <v>0</v>
      </c>
      <c r="N37" s="10" t="s">
        <v>125</v>
      </c>
    </row>
    <row r="38" spans="2:14" x14ac:dyDescent="0.2">
      <c r="B38" s="38" t="str">
        <f>"Discounted Impacts ("&amp;PriceYear&amp;" price year, 7% discount rate, "&amp;PVBaseYear&amp; " discount base year)"</f>
        <v>Discounted Impacts (2024 price year, 7% discount rate, 2025 discount base year)</v>
      </c>
      <c r="C38" s="10" cm="1">
        <f t="array" ref="C38:L38">-SUMIFS(_xlfn.ANCHORARRAY('Full Output'!X2),_xlfn.ANCHORARRAY( 'Full Output'!D2), "Out",_xlfn.ANCHORARRAY( 'Full Output'!E2),_xlfn.ANCHORARRAY( C36))</f>
        <v>0</v>
      </c>
      <c r="D38" s="10">
        <v>0</v>
      </c>
      <c r="E38" s="10">
        <v>0</v>
      </c>
      <c r="F38" s="10">
        <v>0</v>
      </c>
      <c r="G38" s="10">
        <v>0</v>
      </c>
      <c r="H38" s="10">
        <v>0</v>
      </c>
      <c r="I38" s="10">
        <v>0</v>
      </c>
      <c r="J38" s="10">
        <v>0</v>
      </c>
      <c r="K38" s="10">
        <v>0</v>
      </c>
      <c r="L38" s="10">
        <v>0</v>
      </c>
      <c r="M38" s="10">
        <f>SUM(_xlfn.ANCHORARRAY(C38))</f>
        <v>0</v>
      </c>
      <c r="N38" s="10">
        <f>M38*AF_7_10</f>
        <v>0</v>
      </c>
    </row>
    <row r="39" spans="2:14" x14ac:dyDescent="0.2">
      <c r="B39" s="38" t="s">
        <v>126</v>
      </c>
      <c r="C39" s="10" cm="1">
        <f t="array" ref="C39:L39">_xlfn.ANCHORARRAY(C37)*OneforOne_CPI_Conversion</f>
        <v>0</v>
      </c>
      <c r="D39" s="10">
        <v>0</v>
      </c>
      <c r="E39" s="10">
        <v>0</v>
      </c>
      <c r="F39" s="10">
        <v>0</v>
      </c>
      <c r="G39" s="10">
        <v>0</v>
      </c>
      <c r="H39" s="10">
        <v>0</v>
      </c>
      <c r="I39" s="10">
        <v>0</v>
      </c>
      <c r="J39" s="10">
        <v>0</v>
      </c>
      <c r="K39" s="10">
        <v>0</v>
      </c>
      <c r="L39" s="10">
        <v>0</v>
      </c>
      <c r="M39" s="10">
        <f>SUM(_xlfn.ANCHORARRAY(C39))</f>
        <v>0</v>
      </c>
      <c r="N39" s="10" t="s">
        <v>125</v>
      </c>
    </row>
    <row r="40" spans="2:14" x14ac:dyDescent="0.2">
      <c r="B40" s="38" t="s">
        <v>127</v>
      </c>
      <c r="C40" s="10" cm="1">
        <f t="array" ref="C40:L40">_xlfn.ANCHORARRAY(C38)*OneforOne_CPI_Conversion/(1.07)^Years_since_2012</f>
        <v>0</v>
      </c>
      <c r="D40" s="10">
        <v>0</v>
      </c>
      <c r="E40" s="10">
        <v>0</v>
      </c>
      <c r="F40" s="10">
        <v>0</v>
      </c>
      <c r="G40" s="10">
        <v>0</v>
      </c>
      <c r="H40" s="10">
        <v>0</v>
      </c>
      <c r="I40" s="10">
        <v>0</v>
      </c>
      <c r="J40" s="10">
        <v>0</v>
      </c>
      <c r="K40" s="10">
        <v>0</v>
      </c>
      <c r="L40" s="10">
        <v>0</v>
      </c>
      <c r="M40" s="10">
        <f>SUM(_xlfn.ANCHORARRAY(C40))</f>
        <v>0</v>
      </c>
      <c r="N40" s="10">
        <f>M40*AF_7_10</f>
        <v>0</v>
      </c>
    </row>
    <row r="41" spans="2:14" x14ac:dyDescent="0.2">
      <c r="B41" s="32"/>
    </row>
    <row r="42" spans="2:14" ht="12" x14ac:dyDescent="0.2">
      <c r="B42" s="28" t="s">
        <v>129</v>
      </c>
    </row>
    <row r="43" spans="2:14" ht="12" x14ac:dyDescent="0.25">
      <c r="B43" s="37" t="s">
        <v>123</v>
      </c>
      <c r="C43" s="9" cm="1">
        <f t="array" ref="C43:L43">_xlfn.SEQUENCE(,10, YearOfRegistration)</f>
        <v>2025</v>
      </c>
      <c r="D43" s="9">
        <v>2026</v>
      </c>
      <c r="E43" s="9">
        <v>2027</v>
      </c>
      <c r="F43" s="9">
        <v>2028</v>
      </c>
      <c r="G43" s="9">
        <v>2029</v>
      </c>
      <c r="H43" s="9">
        <v>2030</v>
      </c>
      <c r="I43" s="9">
        <v>2031</v>
      </c>
      <c r="J43" s="9">
        <v>2032</v>
      </c>
      <c r="K43" s="9">
        <v>2033</v>
      </c>
      <c r="L43" s="9">
        <v>2034</v>
      </c>
      <c r="M43" s="8" t="s">
        <v>1</v>
      </c>
      <c r="N43" s="8" t="s">
        <v>124</v>
      </c>
    </row>
    <row r="44" spans="2:14" x14ac:dyDescent="0.2">
      <c r="B44" s="38" t="str">
        <f>"Undiscounted Impacts ("&amp;PriceYear&amp;" price year)"</f>
        <v>Undiscounted Impacts (2024 price year)</v>
      </c>
      <c r="C44" s="10" cm="1">
        <f t="array" ref="C44:L44">_xlfn.ANCHORARRAY(C37)-_xlfn.ANCHORARRAY(C30)</f>
        <v>0</v>
      </c>
      <c r="D44" s="10">
        <v>0</v>
      </c>
      <c r="E44" s="10">
        <v>0</v>
      </c>
      <c r="F44" s="10">
        <v>0</v>
      </c>
      <c r="G44" s="10">
        <v>0</v>
      </c>
      <c r="H44" s="10">
        <v>0</v>
      </c>
      <c r="I44" s="10">
        <v>0</v>
      </c>
      <c r="J44" s="10">
        <v>0</v>
      </c>
      <c r="K44" s="10">
        <v>0</v>
      </c>
      <c r="L44" s="10">
        <v>0</v>
      </c>
      <c r="M44" s="10">
        <f>SUM(_xlfn.ANCHORARRAY(C44))</f>
        <v>0</v>
      </c>
      <c r="N44" s="10" t="s">
        <v>125</v>
      </c>
    </row>
    <row r="45" spans="2:14" x14ac:dyDescent="0.2">
      <c r="B45" s="38" t="str">
        <f>"Discounted Impacts ("&amp;PriceYear&amp;" price year, 7% discount rate, "&amp;PVBaseYear&amp; " discount base year)"</f>
        <v>Discounted Impacts (2024 price year, 7% discount rate, 2025 discount base year)</v>
      </c>
      <c r="C45" s="10" cm="1">
        <f t="array" ref="C45:L45">_xlfn.ANCHORARRAY(C38)-_xlfn.ANCHORARRAY(C31)</f>
        <v>0</v>
      </c>
      <c r="D45" s="10">
        <v>0</v>
      </c>
      <c r="E45" s="10">
        <v>0</v>
      </c>
      <c r="F45" s="10">
        <v>0</v>
      </c>
      <c r="G45" s="10">
        <v>0</v>
      </c>
      <c r="H45" s="10">
        <v>0</v>
      </c>
      <c r="I45" s="10">
        <v>0</v>
      </c>
      <c r="J45" s="10">
        <v>0</v>
      </c>
      <c r="K45" s="10">
        <v>0</v>
      </c>
      <c r="L45" s="10">
        <v>0</v>
      </c>
      <c r="M45" s="10">
        <f>SUM(_xlfn.ANCHORARRAY(C45))</f>
        <v>0</v>
      </c>
      <c r="N45" s="10">
        <f>M45*AF_7_10</f>
        <v>0</v>
      </c>
    </row>
    <row r="46" spans="2:14" x14ac:dyDescent="0.2">
      <c r="B46" s="38" t="s">
        <v>126</v>
      </c>
      <c r="C46" s="10" cm="1">
        <f t="array" ref="C46:L46">_xlfn.ANCHORARRAY(C39)-_xlfn.ANCHORARRAY(C32)</f>
        <v>0</v>
      </c>
      <c r="D46" s="10">
        <v>0</v>
      </c>
      <c r="E46" s="10">
        <v>0</v>
      </c>
      <c r="F46" s="10">
        <v>0</v>
      </c>
      <c r="G46" s="10">
        <v>0</v>
      </c>
      <c r="H46" s="10">
        <v>0</v>
      </c>
      <c r="I46" s="10">
        <v>0</v>
      </c>
      <c r="J46" s="10">
        <v>0</v>
      </c>
      <c r="K46" s="10">
        <v>0</v>
      </c>
      <c r="L46" s="10">
        <v>0</v>
      </c>
      <c r="M46" s="10">
        <f>SUM(_xlfn.ANCHORARRAY(C46))</f>
        <v>0</v>
      </c>
      <c r="N46" s="10" t="s">
        <v>125</v>
      </c>
    </row>
    <row r="47" spans="2:14" x14ac:dyDescent="0.2">
      <c r="B47" s="38" t="s">
        <v>127</v>
      </c>
      <c r="C47" s="10" cm="1">
        <f t="array" ref="C47:L47">_xlfn.ANCHORARRAY(C40)-_xlfn.ANCHORARRAY(C33)</f>
        <v>0</v>
      </c>
      <c r="D47" s="10">
        <v>0</v>
      </c>
      <c r="E47" s="10">
        <v>0</v>
      </c>
      <c r="F47" s="10">
        <v>0</v>
      </c>
      <c r="G47" s="10">
        <v>0</v>
      </c>
      <c r="H47" s="10">
        <v>0</v>
      </c>
      <c r="I47" s="10">
        <v>0</v>
      </c>
      <c r="J47" s="10">
        <v>0</v>
      </c>
      <c r="K47" s="10">
        <v>0</v>
      </c>
      <c r="L47" s="10">
        <v>0</v>
      </c>
      <c r="M47" s="10">
        <f>SUM(_xlfn.ANCHORARRAY(C47))</f>
        <v>0</v>
      </c>
      <c r="N47" s="10">
        <f>M47*AF_7_10</f>
        <v>0</v>
      </c>
    </row>
  </sheetData>
  <conditionalFormatting sqref="B21">
    <cfRule type="notContainsBlanks" dxfId="60" priority="1">
      <formula>LEN(TRIM(B21))&gt;0</formula>
    </cfRule>
  </conditionalFormatting>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650ED2-EA7D-4EA9-AFF6-A9DE8F868E67}">
  <sheetPr codeName="Sheet7">
    <tabColor rgb="FF92D050"/>
  </sheetPr>
  <dimension ref="B2:D20"/>
  <sheetViews>
    <sheetView showGridLines="0" zoomScale="85" zoomScaleNormal="85" workbookViewId="0">
      <selection activeCell="B20" sqref="B20"/>
    </sheetView>
  </sheetViews>
  <sheetFormatPr defaultColWidth="9.109375" defaultRowHeight="11.4" x14ac:dyDescent="0.3"/>
  <cols>
    <col min="1" max="1" width="4" style="135" customWidth="1"/>
    <col min="2" max="2" width="53.6640625" style="136" customWidth="1"/>
    <col min="3" max="3" width="53" style="135" customWidth="1"/>
    <col min="4" max="4" width="39.109375" style="135" customWidth="1"/>
    <col min="5" max="6" width="19.44140625" style="135" customWidth="1"/>
    <col min="7" max="7" width="15.33203125" style="135" customWidth="1"/>
    <col min="8" max="14" width="19.44140625" style="135" customWidth="1"/>
    <col min="15" max="16384" width="9.109375" style="135"/>
  </cols>
  <sheetData>
    <row r="2" spans="2:4" ht="15.6" x14ac:dyDescent="0.3">
      <c r="B2" s="185" t="s">
        <v>130</v>
      </c>
    </row>
    <row r="3" spans="2:4" ht="13.2" x14ac:dyDescent="0.3">
      <c r="B3" s="184"/>
      <c r="C3" s="139"/>
      <c r="D3" s="139"/>
    </row>
    <row r="4" spans="2:4" ht="13.2" x14ac:dyDescent="0.3">
      <c r="B4" s="184"/>
      <c r="C4" s="139"/>
      <c r="D4" s="139"/>
    </row>
    <row r="5" spans="2:4" ht="13.2" x14ac:dyDescent="0.3">
      <c r="B5" s="186" t="s">
        <v>131</v>
      </c>
      <c r="C5" s="143" t="s">
        <v>132</v>
      </c>
      <c r="D5" s="214" t="s">
        <v>133</v>
      </c>
    </row>
    <row r="6" spans="2:4" ht="13.2" x14ac:dyDescent="0.3">
      <c r="B6" s="172" t="s">
        <v>134</v>
      </c>
      <c r="C6" s="240">
        <f>SUM(tbl_Stakeholders[Small Business Count])</f>
        <v>0</v>
      </c>
      <c r="D6" s="261" t="s">
        <v>135</v>
      </c>
    </row>
    <row r="7" spans="2:4" ht="13.2" x14ac:dyDescent="0.3">
      <c r="B7" s="172" t="s">
        <v>110</v>
      </c>
      <c r="C7" s="147" t="str">
        <f>Time&amp;" ("&amp;YearOfRegistration&amp;" to "&amp;YearOfRegistration+Time-1&amp;")"</f>
        <v>10 (2025 to 2034)</v>
      </c>
      <c r="D7" s="262"/>
    </row>
    <row r="8" spans="2:4" ht="13.2" x14ac:dyDescent="0.3">
      <c r="B8" s="172" t="s">
        <v>111</v>
      </c>
      <c r="C8" s="147">
        <f>PriceYear</f>
        <v>2024</v>
      </c>
      <c r="D8" s="262"/>
    </row>
    <row r="9" spans="2:4" ht="13.2" x14ac:dyDescent="0.3">
      <c r="B9" s="172" t="s">
        <v>112</v>
      </c>
      <c r="C9" s="147" t="str">
        <f>TEXT(Discount, "0%")</f>
        <v>7%</v>
      </c>
      <c r="D9" s="262"/>
    </row>
    <row r="10" spans="2:4" ht="13.2" x14ac:dyDescent="0.3">
      <c r="B10" s="172" t="s">
        <v>113</v>
      </c>
      <c r="C10" s="147">
        <f>PVBaseYear</f>
        <v>2025</v>
      </c>
      <c r="D10" s="262"/>
    </row>
    <row r="11" spans="2:4" ht="13.2" x14ac:dyDescent="0.3">
      <c r="B11" s="148" t="s">
        <v>136</v>
      </c>
      <c r="C11" s="149" t="s">
        <v>137</v>
      </c>
      <c r="D11" s="263" t="s">
        <v>138</v>
      </c>
    </row>
    <row r="12" spans="2:4" ht="13.2" x14ac:dyDescent="0.3">
      <c r="B12" s="175" t="s">
        <v>139</v>
      </c>
      <c r="C12" s="151">
        <v>0</v>
      </c>
      <c r="D12" s="264"/>
    </row>
    <row r="13" spans="2:4" ht="13.2" x14ac:dyDescent="0.3">
      <c r="B13" s="175" t="s">
        <v>140</v>
      </c>
      <c r="C13" s="151" t="s">
        <v>141</v>
      </c>
      <c r="D13" s="264"/>
    </row>
    <row r="14" spans="2:4" ht="13.2" x14ac:dyDescent="0.3">
      <c r="B14" s="187" t="s">
        <v>142</v>
      </c>
      <c r="C14" s="154" t="s">
        <v>143</v>
      </c>
      <c r="D14" s="265"/>
    </row>
    <row r="15" spans="2:4" ht="13.2" x14ac:dyDescent="0.3">
      <c r="B15" s="184"/>
      <c r="C15" s="184"/>
      <c r="D15" s="139"/>
    </row>
    <row r="16" spans="2:4" ht="13.2" x14ac:dyDescent="0.3">
      <c r="B16" s="184"/>
      <c r="C16" s="184"/>
      <c r="D16" s="139"/>
    </row>
    <row r="17" spans="2:4" ht="13.8" x14ac:dyDescent="0.3">
      <c r="B17" s="260" t="str" cm="1">
        <f t="array" ref="B17">IF(NoSBImpacts, "This sheet is blank because there are no impacts to small businesses.", "Note: in the tables below, Benefits are the OUTs and Costs are the INs from the Activities tab.")</f>
        <v>This sheet is blank because there are no impacts to small businesses.</v>
      </c>
      <c r="C17" s="213"/>
      <c r="D17" s="139"/>
    </row>
    <row r="18" spans="2:4" ht="13.2" x14ac:dyDescent="0.3">
      <c r="B18" s="184" t="str" cm="1">
        <f t="array" ref="B18">IF(NoErrors, "", IF(OneError, "There is an unresolved error on the Activities sheet.", "There are unresolved errors on the Activities sheet."))</f>
        <v>There is an unresolved error on the Activities sheet.</v>
      </c>
      <c r="C18" s="139"/>
      <c r="D18" s="139"/>
    </row>
    <row r="20" spans="2:4" x14ac:dyDescent="0.3">
      <c r="B20" s="136" t="str" cm="1">
        <f t="array" ref="B20">IF(NoSBImpacts, "",
_xlfn.LET(
_xlpm.Magnitude, 1/10^IF($C$13="Millions",6,IF($C$13="Billions",9)),
_xlpm.Magnitude_text, IF($C$13="Millions", " ($ millions)", IF($C$13="Billions", " ($ billions)", "")),
_xlpm.FO_ActivityAdminCompliance,_xlfn.ANCHORARRAY( 'Full Output'!$B$2):_xlfn.ANCHORARRAY('Full Output'!$C$2),
_xlpm.FO_SBImpactD,_xlfn.ANCHORARRAY( 'Full Output'!$T$2),
_xlpm.FO_SBImpactU,_xlfn.ANCHORARRAY( 'Full Output'!$O$2),
_xlpm.Yr_hdrD, _xlfn.HSTACK(_xlfn.SEQUENCE(, Time, YearOfRegistration), "Total", "Annualized"),
_xlpm.FO_IO,_xlfn.ANCHORARRAY( 'Full Output'!$D$2),
_xlpm.FO_Year,_xlfn.ANCHORARRAY( 'Full Output'!$E$2),
_xlpm.In_AnnualDiscounted, SUMIFS(_xlpm.FO_SBImpactD, _xlpm.FO_IO, "In", _xlpm.FO_Year, _xlpm.Yr_hdrD)*_xlpm.Magnitude,
_xlpm.In_AnnualUndiscounted, SUMIFS(_xlpm.FO_SBImpactU, _xlpm.FO_IO, "In", _xlpm.FO_Year, _xlpm.Yr_hdrD)*_xlpm.Magnitude,
_xlpm.Out_AnnualDiscounted, -SUMIFS(_xlpm.FO_SBImpactD, _xlpm.FO_IO, "Out", _xlpm.FO_Year, _xlpm.Yr_hdrD)*_xlpm.Magnitude,
_xlpm.Out_AnnualUndiscounted, -SUMIFS(_xlpm.FO_SBImpactU, _xlpm.FO_IO, "Out", _xlpm.FO_Year, _xlpm.Yr_hdrD)*_xlpm.Magnitude,
_xlpm.Net_AnnualDiscounted, -SUMIFS(_xlpm.FO_SBImpactD,_xlpm.FO_Year, _xlpm.Yr_hdrD)*_xlpm.Magnitude,
_xlpm.Net_AnnualUndiscounted, -SUMIFS(_xlpm.FO_SBImpactU, _xlpm.FO_Year, _xlpm.Yr_hdrD)*_xlpm.Magnitude,
_xlpm.k, _xlfn.UNIQUE(_xlfn._xlws.FILTER(_xlpm.FO_ActivityAdminCompliance, (FO_InOut="Out")*(_xlpm.FO_SBImpactD&lt;&gt;0))),
_xlpm.w, _xlfn.UNIQUE(_xlfn._xlws.FILTER(_xlpm.FO_ActivityAdminCompliance, (FO_InOut="In")*(_xlpm.FO_SBImpactD&lt;&gt;0))),
_xlpm.s, IF($C$14="Default", 1, IF($C$14="Total Impact (↑)", 2, IF($C$14="Total Impact (↓)", 3, IF($C$14="Administrative then Compliance", 4, IF($C$14="Compliance then Administrative", 5, IF($C$14="Activity (↑az)", 6, IF($C$14="Activity (↓za)", 7))))))),
_xlpm.NUMTXT, _xlfn.LAMBDA(_xlpm.Value,_xlpm.Decimals,_xlpm.Text, IF(_xlpm.Text=1, DOLLAR(_xlpm.Value, _xlpm.Decimals), _xlpm.Value)),
_xlpm.d, --($C$11="Text"),
_xlpm.a, IFERROR(INDEX(_xlpm.k, , 2),""),
_xlpm.b, IFERROR(INDEX(_xlpm.k, , 1),""),
_xlpm.c, -_xlfn.LET(_xlpm.x, SUMIFS(_xlpm.FO_SBImpactD, FO_InOut, "Out", FO_Act, _xlpm.b, INDEX(_xlpm.FO_ActivityAdminCompliance,,2), _xlpm.a), _xlpm.x*_xlpm.Magnitude),
_xlpm.p, _xlfn.HSTACK(_xlpm.a, _xlpm.b, _xlpm.c, _xlpm.c*AF),
_xlpm.e, IF(_xlpm.s=1, _xlpm.p, _xlfn._xlws.SORT(_xlpm.p, IF(_xlpm.s&lt;4, 3, IF(_xlpm.s&lt;6, 1, 4)), IF(ISEVEN(_xlpm.s), 1, -1))),
_xlpm.TBAB, _xlfn.HSTACK(SUM(INDEX(_xlpm.e,,3)), SUM(INDEX(_xlpm.e,,4))),
_xlpm.tbl_SBLBenefits,
     _xlfn.VSTACK("Benefits"&amp;_xlpm.Magnitude_text,
     _xlfn.HSTACK("Administrative or Compliance", "Description of benefit", "Present value", "Annualized Value"),
     _xlfn.HSTACK(_xlfn.TAKE(_xlpm.e,,2), _xlpm.NUMTXT(_xlfn.TAKE(_xlpm.e,,-2), $C$12, _xlpm.d)), _xlfn.HSTACK("Total", "Total costs", _xlpm.NUMTXT(_xlpm.TBAB, $C$12, _xlpm.d))),
_xlpm.f, IFERROR(INDEX(_xlpm.w, , 2),""),
_xlpm.g, IFERROR(INDEX(_xlpm.w, , 1),""),
_xlpm.h, _xlfn.LET(_xlpm.y, SUMIFS(_xlpm.FO_SBImpactD, FO_InOut, "In", FO_Act, _xlpm.g, INDEX(_xlpm.FO_ActivityAdminCompliance,,2), _xlpm.f), _xlpm.y*_xlpm.Magnitude),
_xlpm.i, _xlfn.HSTACK(_xlpm.f, _xlpm.g, _xlpm.h, _xlpm.h*AF),
_xlpm.j, IF(_xlpm.s=1, _xlpm.i, _xlfn._xlws.SORT(_xlpm.i, IF(_xlpm.s&lt;4, 3, IF(_xlpm.s&lt;6, 1, 4)), IF(ISEVEN(_xlpm.s), 1, -1))),
_xlpm.TCAC, _xlfn.HSTACK(SUM(INDEX(_xlpm.j,,3)), SUM(INDEX(_xlpm.j,,4))),
_xlpm.tbl_SBLCosts,
     _xlfn.VSTACK("Costs"&amp;_xlpm.Magnitude_text,
     _xlfn.HSTACK("Administrative or Compliance", "Description of cost", "Present value", "Annualized value"),
     _xlfn.HSTACK(_xlfn.TAKE(_xlpm.j,,2), _xlpm.NUMTXT(_xlfn.TAKE(_xlpm.j,,-2), $C$12, _xlpm.d)), _xlfn.HSTACK("Total", "Total costs", _xlpm.NUMTXT(_xlpm.TCAC, $C$12, _xlpm.d))),
_xlpm.net_11, "Net impact on all impacted small businesses "&amp;CHAR(10)&amp;"[Total benefits minus total costs]",
_xlpm.net_12, -SUM(_xlpm.FO_SBImpactD)*_xlpm.Magnitude,
_xlpm.net_13, _xlpm.net_12*AF,
_xlpm.net_21, "Average net impact on each impacted small business " &amp;CHAR(10)&amp;"[Net impact divided by number of impacted small businesses]",
_xlpm.net_22, _xlpm.net_12/$C$6,
_xlpm.net_23, _xlpm.net_13/$C$6,
_xlpm.tbl_SBLNet, _xlfn.VSTACK(_xlfn.HSTACK(_xlpm.net_11, _xlpm.NUMTXT(_xlpm.net_12, $C$12, _xlpm.d), _xlpm.NUMTXT(_xlpm.net_13, $C$12, _xlpm.d)), _xlfn.HSTACK(_xlpm.net_21, _xlpm.NUMTXT(_xlpm.net_22, $C$12, _xlpm.d), _xlpm.NUMTXT(_xlpm.net_23, $C$12, _xlpm.d))),
_xlpm.NetHeader, _xlfn.HSTACK("Amount", "Present value", "Annualized value"),
_xlpm.SBLYearHeader, _xlfn.HSTACK("Impact", YrsHdr_D),
_xlpm.IN_Undiscounted,
     _xlfn.HSTACK("Undiscounted",
     IFERROR(_xlpm.NUMTXT(IF(_xlpm.Yr_hdrD="Total", SUM(_xlpm.In_AnnualUndiscounted), IF(_xlpm.Yr_hdrD="Annualized", "N/A", _xlpm.In_AnnualUndiscounted)), $C$12, _xlpm.d), "N/A")),
_xlpm.IN_Discounted,
     _xlfn.HSTACK("Discounted",
     _xlpm.NUMTXT(IF(_xlpm.Yr_hdrD="Total", SUM(_xlpm.In_AnnualDiscounted), IF(_xlpm.Yr_hdrD="Annualized", SUM(_xlpm.In_AnnualDiscounted)*AF, _xlpm.In_AnnualDiscounted)), $C$12, _xlpm.d)),
_xlpm.OUT_Undiscounted,
     _xlfn.HSTACK("Undiscounted",
     IFERROR(_xlpm.NUMTXT(IF(_xlpm.Yr_hdrD="Total", SUM(_xlpm.Out_AnnualUndiscounted), IF(_xlpm.Yr_hdrD="Annualized", "N/A", _xlpm.Out_AnnualUndiscounted)), $C$12, _xlpm.d), "N/A")),
_xlpm.OUT_Discounted,
     _xlfn.HSTACK("Discounted",
     _xlpm.NUMTXT(IF(_xlpm.Yr_hdrD="Total", SUM(_xlpm.Out_AnnualDiscounted), IF(_xlpm.Yr_hdrD="Annualized", SUM(_xlpm.Out_AnnualDiscounted)*AF, _xlpm.Out_AnnualDiscounted)), $C$12, _xlpm.d)),
_xlpm.NET_Undiscounted,
     _xlfn.HSTACK("Undiscounted",
     IFERROR(_xlpm.NUMTXT(IF(_xlpm.Yr_hdrD="Total", SUM(_xlpm.Net_AnnualUndiscounted), IF(_xlpm.Yr_hdrD="Annualized", "N/A", _xlpm.Net_AnnualUndiscounted)), $C$12, _xlpm.d), "N/A")),
_xlpm.NET_Discounted,
     _xlfn.HSTACK("Discounted",
     _xlpm.NUMTXT(IF(_xlpm.Yr_hdrD="Total", SUM(_xlpm.Net_AnnualDiscounted), IF(_xlpm.Yr_hdrD="Annualized", SUM(_xlpm.Net_AnnualDiscounted)*AF, _xlpm.Net_AnnualDiscounted)), $C$12, _xlpm.d)),
_xlpm.IN, _xlfn.VSTACK("IN"&amp;_xlpm.Magnitude_text, _xlpm.SBLYearHeader, _xlpm.IN_Discounted, _xlpm.IN_Undiscounted),
_xlpm.OUT, _xlfn.VSTACK("OUT"&amp;_xlpm.Magnitude_text, _xlpm.SBLYearHeader, _xlpm.OUT_Discounted, _xlpm.OUT_Undiscounted),
_xlpm.NET, _xlfn.VSTACK("NET"&amp;_xlpm.Magnitude_text, _xlpm.SBLYearHeader, _xlpm.NET_Discounted, _xlpm.NET_Undiscounted),
IFERROR(_xlfn.VSTACK(_xlpm.tbl_SBLBenefits, "", "", _xlpm.tbl_SBLCosts, "", "", "Net Impacts"&amp;_xlpm.Magnitude_text, _xlpm.NetHeader, _xlpm.tbl_SBLNet, "", "", "", _xlpm.IN, "", _xlpm.OUT, "", _xlpm.NET),"")))</f>
        <v/>
      </c>
    </row>
  </sheetData>
  <mergeCells count="2">
    <mergeCell ref="D6:D10"/>
    <mergeCell ref="D11:D14"/>
  </mergeCells>
  <conditionalFormatting sqref="B18">
    <cfRule type="notContainsBlanks" dxfId="59" priority="1">
      <formula>LEN(TRIM(B18))&gt;0</formula>
    </cfRule>
  </conditionalFormatting>
  <conditionalFormatting sqref="B19:E405">
    <cfRule type="expression" dxfId="58" priority="2">
      <formula>$B18="Administrative or Compliance"</formula>
    </cfRule>
    <cfRule type="expression" dxfId="57" priority="4">
      <formula>$B19="Total"</formula>
    </cfRule>
    <cfRule type="expression" dxfId="56" priority="5">
      <formula>$B19="Amount"</formula>
    </cfRule>
    <cfRule type="expression" dxfId="55" priority="6">
      <formula>$B19="Administrative or Compliance"</formula>
    </cfRule>
    <cfRule type="expression" dxfId="54" priority="11">
      <formula>OR($B19="Net Impacts", $B19="Net Impacts ($ millions)", $B19="Net Impacts ($ billions)")</formula>
    </cfRule>
    <cfRule type="expression" dxfId="53" priority="12">
      <formula>OR($B19="Costs", $B19="Costs ($ millions)", $B19="Costs ($ billions)")</formula>
    </cfRule>
    <cfRule type="expression" dxfId="52" priority="13">
      <formula>OR($B19="Benefits", $B19="Benefits ($ millions)", $B19="Benefits ($ billions)")</formula>
    </cfRule>
  </conditionalFormatting>
  <conditionalFormatting sqref="B19:CY405">
    <cfRule type="expression" dxfId="51" priority="3">
      <formula>$B19="Impact"</formula>
    </cfRule>
    <cfRule type="expression" dxfId="50" priority="8">
      <formula>OR($B19="NET", $B19="Net ($ millions)", $B19="Net ($ billions)")</formula>
    </cfRule>
    <cfRule type="expression" dxfId="49" priority="9">
      <formula>OR($B19="OUT", $B19="OUT ($ millions)", $B19="OUT ($ billions)")</formula>
    </cfRule>
    <cfRule type="expression" dxfId="48" priority="10">
      <formula>OR($B19="IN", $B19="IN ($ millions)", $B19= "IN ($ billions)")</formula>
    </cfRule>
    <cfRule type="notContainsBlanks" dxfId="47" priority="14">
      <formula>LEN(TRIM(B19))&gt;0</formula>
    </cfRule>
  </conditionalFormatting>
  <dataValidations disablePrompts="1" xWindow="721" yWindow="383" count="4">
    <dataValidation type="list" allowBlank="1" showInputMessage="1" showErrorMessage="1" sqref="C12" xr:uid="{7A352B02-3BA5-4417-BCBC-67712185EC09}">
      <formula1>"0, 1, 2, 3, 4"</formula1>
    </dataValidation>
    <dataValidation type="list" allowBlank="1" showInputMessage="1" showErrorMessage="1" sqref="C13" xr:uid="{55570B72-1F02-48A0-9DA8-9AC9DA757705}">
      <formula1>"Single, Millions, Billions"</formula1>
    </dataValidation>
    <dataValidation type="list" allowBlank="1" showInputMessage="1" showErrorMessage="1" prompt="Default lists activities by the way in which they appear on the Activities sheet." sqref="C14" xr:uid="{BF41C7AB-EE6D-45D8-9E6E-C7B40007AA9B}">
      <formula1>"Default, Total Impact (↑), Total Impact (↓), Administrative then Compliance, Compliance then Administrative, Activity (↑az), Activity (↓za)"</formula1>
    </dataValidation>
    <dataValidation type="list" allowBlank="1" showInputMessage="1" showErrorMessage="1" prompt="Text: for copy-pasting into Word. _x000a__x000a_Numbers: for additional manipulations in Excel." sqref="C11:C12" xr:uid="{0406538D-C029-415C-B7F4-DBECF24D7981}">
      <formula1>"Text, Numbers"</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F0609-E1AB-41FA-872C-0054B4C65085}">
  <sheetPr codeName="Sheet8">
    <tabColor rgb="FFF4EE00"/>
  </sheetPr>
  <dimension ref="B2:N11"/>
  <sheetViews>
    <sheetView showGridLines="0" zoomScaleNormal="100" workbookViewId="0">
      <selection activeCell="B8" sqref="B8"/>
    </sheetView>
  </sheetViews>
  <sheetFormatPr defaultColWidth="9.109375" defaultRowHeight="13.2" x14ac:dyDescent="0.25"/>
  <cols>
    <col min="1" max="1" width="9.109375" style="75"/>
    <col min="2" max="2" width="25" style="75" customWidth="1"/>
    <col min="3" max="3" width="26.88671875" style="75" customWidth="1"/>
    <col min="4" max="14" width="11.44140625" style="75" customWidth="1"/>
    <col min="15" max="16384" width="9.109375" style="75"/>
  </cols>
  <sheetData>
    <row r="2" spans="2:14" ht="15.6" x14ac:dyDescent="0.25">
      <c r="B2" s="74" t="s">
        <v>63</v>
      </c>
    </row>
    <row r="3" spans="2:14" ht="15.6" x14ac:dyDescent="0.25">
      <c r="B3" s="74"/>
    </row>
    <row r="6" spans="2:14" s="78" customFormat="1" x14ac:dyDescent="0.25"/>
    <row r="7" spans="2:14" s="78" customFormat="1" x14ac:dyDescent="0.25">
      <c r="D7" s="78">
        <v>0</v>
      </c>
      <c r="E7" s="78" cm="1">
        <f t="array" ref="E7:N7">_xlfn.SEQUENCE(,Time)</f>
        <v>1</v>
      </c>
      <c r="F7" s="78">
        <v>2</v>
      </c>
      <c r="G7" s="78">
        <v>3</v>
      </c>
      <c r="H7" s="78">
        <v>4</v>
      </c>
      <c r="I7" s="78">
        <v>5</v>
      </c>
      <c r="J7" s="78">
        <v>6</v>
      </c>
      <c r="K7" s="78">
        <v>7</v>
      </c>
      <c r="L7" s="78">
        <v>8</v>
      </c>
      <c r="M7" s="78">
        <v>9</v>
      </c>
      <c r="N7" s="78">
        <v>10</v>
      </c>
    </row>
    <row r="8" spans="2:14" s="77" customFormat="1" x14ac:dyDescent="0.25">
      <c r="B8" s="76" t="s">
        <v>64</v>
      </c>
      <c r="C8" s="76" t="s">
        <v>65</v>
      </c>
      <c r="D8" s="76" cm="1">
        <f t="array" ref="D8:N8">_xlfn.HSTACK(YearOfRegistration, _xlfn.SEQUENCE(, Time, YearOfRegistration))</f>
        <v>2025</v>
      </c>
      <c r="E8" s="76">
        <v>2025</v>
      </c>
      <c r="F8" s="76">
        <v>2026</v>
      </c>
      <c r="G8" s="76">
        <v>2027</v>
      </c>
      <c r="H8" s="76">
        <v>2028</v>
      </c>
      <c r="I8" s="76">
        <v>2029</v>
      </c>
      <c r="J8" s="76">
        <v>2030</v>
      </c>
      <c r="K8" s="76">
        <v>2031</v>
      </c>
      <c r="L8" s="76">
        <v>2032</v>
      </c>
      <c r="M8" s="76">
        <v>2033</v>
      </c>
      <c r="N8" s="76">
        <v>2034</v>
      </c>
    </row>
    <row r="9" spans="2:14" x14ac:dyDescent="0.25">
      <c r="B9" s="75" t="str" cm="1">
        <f t="array" ref="B9:B11">IFERROR(_xlfn._xlws.SORT(_xlfn.TOCOL(IF(_xlfn.SEQUENCE(1, IF(SUM(tbl_Stakeholders[Non-business Count])=0, 3, 5)), _xlfn._xlws.FILTER(tbl_Stakeholders[Stakeholder Group], ISBLANK(tbl_Stakeholders[Stakeholder Group])=FALSE)),,1)), "")</f>
        <v/>
      </c>
      <c r="C9" s="75" t="str" cm="1">
        <f t="array" ref="C9">IFERROR(_xlfn.TOCOL( IF(_xlfn.SEQUENCE(COUNTA(tbl_Stakeholders[Stakeholder Group]), 1), IF(SUM(tbl_Stakeholders[Non-business Count])&gt;0, tbl_Stakeholders[[#Headers],[Non-business Count]:[Total Stakeholder Count]], tbl_Stakeholders[[#Headers],[Small Business Count]:[Total Business Count]])), ,FALSE ), "")</f>
        <v/>
      </c>
      <c r="D9" s="75" t="str" cm="1">
        <f t="array" ref="D9:D11">IFERROR(INDEX(tbl_Stakeholders[[Non-business Count]:[Total Stakeholder Count]], MATCH(_xlfn.ANCHORARRAY(B9), tbl_Stakeholders[Stakeholder Group], 0), MATCH(_xlfn.ANCHORARRAY(C9), tbl_Stakeholders[[#Headers],[Non-business Count]:[Total Stakeholder Count]], 0)), "")</f>
        <v/>
      </c>
      <c r="E9" s="75" t="str" cm="1">
        <f t="array" ref="E9">IF(COUNTA(tbl_Stakeholders[Stakeholder Group])=0, "", _xlfn.MAKEARRAY(ROWS(_xlfn._xlws.FILTER(tbl_Stakeholders[], tbl_Stakeholders[Stakeholder Group]&lt;&gt;""))*IF(SUM(tbl_Stakeholders[Non-business Count])&gt;0, 5, 3), Time, _xlfn.LAMBDA(_xlpm.r,_xlpm.c,
IFERROR(_xlfn.LET(
_xlpm.ThisGroup, MATCH(INDEX(_xlfn.ANCHORARRAY($B$9), _xlpm.r), tbl_Stakeholders[Stakeholder Group], 0),
_xlpm.x, INDEX(tbl_Stakeholders[Non-business Count], _xlpm.ThisGroup)*(1+INDEX(tbl_Stakeholders[Non-business Growth Rate], _xlpm.ThisGroup))^INDEX(_xlfn.ANCHORARRAY($E$7),, _xlpm.c),
_xlpm.y, INDEX(tbl_Stakeholders[Small Business Count], _xlpm.ThisGroup)*(1+INDEX(tbl_Stakeholders[Small Business Growth Rate], _xlpm.ThisGroup))^INDEX(_xlfn.ANCHORARRAY($E$7),,_xlpm.c),
_xlpm.z, INDEX(tbl_Stakeholders[Med/Large Business Count], _xlpm.ThisGroup)*(1+INDEX(tbl_Stakeholders[Med/Large Business Growth Rate], _xlpm.ThisGroup))^INDEX(_xlfn.ANCHORARRAY($E$7),,_xlpm.c),
IF(INDEX(_xlfn.ANCHORARRAY($C$9), _xlpm.r)="Non-business Count", _xlpm.x,
IF(INDEX(_xlfn.ANCHORARRAY($C$9), _xlpm.r)="Small Business Count", _xlpm.y,
IF(INDEX(_xlfn.ANCHORARRAY($C$9), _xlpm.r)="Med/Large Business Count", _xlpm.z,
IF(INDEX(_xlfn.ANCHORARRAY($C$9), _xlpm.r)="Total Business Count", _xlpm.y+_xlpm.z,
IF(INDEX(_xlfn.ANCHORARRAY($C$9), _xlpm.r)="Total Stakeholder Count", _xlpm.x+_xlpm.y+_xlpm.z)))))), ""))))</f>
        <v/>
      </c>
    </row>
    <row r="10" spans="2:14" x14ac:dyDescent="0.25">
      <c r="B10" s="75" t="str">
        <v/>
      </c>
      <c r="D10" s="75" t="str">
        <v/>
      </c>
    </row>
    <row r="11" spans="2:14" x14ac:dyDescent="0.25">
      <c r="B11" s="75" t="str">
        <v/>
      </c>
      <c r="D11" s="75" t="str">
        <v/>
      </c>
    </row>
  </sheetData>
  <phoneticPr fontId="3" type="noConversion"/>
  <conditionalFormatting sqref="B9:O9 Q9:CY9 B10:CY398">
    <cfRule type="notContainsBlanks" dxfId="46" priority="9">
      <formula>LEN(TRIM(B9))&gt;0</formula>
    </cfRule>
  </conditionalFormatting>
  <conditionalFormatting sqref="B8:CY8">
    <cfRule type="notContainsBlanks" dxfId="45" priority="8">
      <formula>LEN(TRIM(B8))&gt;0</formula>
    </cfRule>
  </conditionalFormatting>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DB8095-A86D-4ACA-BCC1-D22E367104B0}">
  <sheetPr codeName="Sheet12">
    <tabColor rgb="FFF4EE00"/>
    <pageSetUpPr autoPageBreaks="0"/>
  </sheetPr>
  <dimension ref="B2:H46"/>
  <sheetViews>
    <sheetView showGridLines="0" zoomScaleNormal="100" workbookViewId="0">
      <selection activeCell="B18" sqref="B18"/>
    </sheetView>
  </sheetViews>
  <sheetFormatPr defaultColWidth="14" defaultRowHeight="11.4" x14ac:dyDescent="0.3"/>
  <cols>
    <col min="1" max="1" width="5.109375" style="135" customWidth="1"/>
    <col min="2" max="2" width="43.5546875" style="136" customWidth="1"/>
    <col min="3" max="3" width="20.88671875" style="135" customWidth="1"/>
    <col min="4" max="8" width="14" style="135"/>
    <col min="9" max="9" width="14" style="135" customWidth="1"/>
    <col min="10" max="16384" width="14" style="135"/>
  </cols>
  <sheetData>
    <row r="2" spans="2:5" ht="15.6" x14ac:dyDescent="0.3">
      <c r="B2" s="138" t="s">
        <v>144</v>
      </c>
      <c r="C2" s="139"/>
      <c r="D2" s="139"/>
      <c r="E2" s="139"/>
    </row>
    <row r="3" spans="2:5" ht="13.2" x14ac:dyDescent="0.25">
      <c r="B3" s="140"/>
      <c r="C3" s="139"/>
      <c r="D3" s="139"/>
      <c r="E3" s="139"/>
    </row>
    <row r="4" spans="2:5" ht="13.2" x14ac:dyDescent="0.25">
      <c r="B4" s="140"/>
      <c r="C4" s="139"/>
      <c r="D4" s="139"/>
      <c r="E4" s="139"/>
    </row>
    <row r="5" spans="2:5" ht="13.2" x14ac:dyDescent="0.25">
      <c r="B5" s="141" t="s">
        <v>131</v>
      </c>
      <c r="C5" s="142" t="s">
        <v>132</v>
      </c>
      <c r="D5" s="214" t="s">
        <v>133</v>
      </c>
      <c r="E5" s="139"/>
    </row>
    <row r="6" spans="2:5" ht="13.2" x14ac:dyDescent="0.3">
      <c r="B6" s="144" t="s">
        <v>111</v>
      </c>
      <c r="C6" s="145">
        <f>PriceYear</f>
        <v>2024</v>
      </c>
      <c r="D6" s="262" t="s">
        <v>135</v>
      </c>
      <c r="E6" s="139"/>
    </row>
    <row r="7" spans="2:5" ht="13.2" x14ac:dyDescent="0.3">
      <c r="B7" s="146" t="s">
        <v>112</v>
      </c>
      <c r="C7" s="239">
        <f>Discount</f>
        <v>7.0000000000000007E-2</v>
      </c>
      <c r="D7" s="262"/>
      <c r="E7" s="139"/>
    </row>
    <row r="8" spans="2:5" ht="13.2" x14ac:dyDescent="0.3">
      <c r="B8" s="146" t="s">
        <v>145</v>
      </c>
      <c r="C8" s="147">
        <f>PVBaseYear</f>
        <v>2025</v>
      </c>
      <c r="D8" s="262"/>
      <c r="E8" s="139"/>
    </row>
    <row r="9" spans="2:5" ht="15" customHeight="1" x14ac:dyDescent="0.3">
      <c r="B9" s="148" t="s">
        <v>136</v>
      </c>
      <c r="C9" s="149" t="s">
        <v>137</v>
      </c>
      <c r="D9" s="263" t="s">
        <v>146</v>
      </c>
      <c r="E9" s="139"/>
    </row>
    <row r="10" spans="2:5" ht="13.2" x14ac:dyDescent="0.3">
      <c r="B10" s="150" t="s">
        <v>139</v>
      </c>
      <c r="C10" s="151">
        <v>0</v>
      </c>
      <c r="D10" s="264"/>
      <c r="E10" s="152"/>
    </row>
    <row r="11" spans="2:5" ht="13.2" x14ac:dyDescent="0.3">
      <c r="B11" s="150" t="s">
        <v>140</v>
      </c>
      <c r="C11" s="151" t="s">
        <v>141</v>
      </c>
      <c r="D11" s="264"/>
      <c r="E11" s="139"/>
    </row>
    <row r="12" spans="2:5" ht="13.2" x14ac:dyDescent="0.3">
      <c r="B12" s="150" t="s">
        <v>147</v>
      </c>
      <c r="C12" s="151" t="s">
        <v>148</v>
      </c>
      <c r="D12" s="264"/>
      <c r="E12" s="139"/>
    </row>
    <row r="13" spans="2:5" ht="13.2" x14ac:dyDescent="0.3">
      <c r="B13" s="153" t="s">
        <v>149</v>
      </c>
      <c r="C13" s="154" t="s">
        <v>150</v>
      </c>
      <c r="D13" s="265"/>
      <c r="E13" s="139"/>
    </row>
    <row r="14" spans="2:5" ht="13.2" x14ac:dyDescent="0.3">
      <c r="B14" s="152"/>
      <c r="C14" s="139"/>
      <c r="D14" s="139"/>
      <c r="E14" s="139"/>
    </row>
    <row r="15" spans="2:5" ht="13.2" x14ac:dyDescent="0.3">
      <c r="B15" s="155" t="s">
        <v>151</v>
      </c>
      <c r="C15" s="139"/>
      <c r="D15" s="139"/>
      <c r="E15" s="139"/>
    </row>
    <row r="16" spans="2:5" ht="13.2" x14ac:dyDescent="0.3">
      <c r="B16" s="152" t="str" cm="1">
        <f t="array" ref="B16">IF(NoErrors, "", IF(OneError, "There is an unresolved error on the Activities sheet.", "There are unresolved errors on the Activities sheet."))</f>
        <v>There is an unresolved error on the Activities sheet.</v>
      </c>
      <c r="C16" s="139"/>
      <c r="D16" s="139"/>
      <c r="E16" s="139"/>
    </row>
    <row r="18" spans="2:8" ht="12" x14ac:dyDescent="0.3">
      <c r="B18" s="136" t="str" cm="1">
        <f t="array" ref="B18:E46">_xlfn.LET(
_xlpm.Mag, 1/10^IF($C$11="Millions", 6, IF($C$11="Billions",9)),
_xlpm.Mag_txt, IF($C$11="Millions", "($ millions)", IF($C$11="Billions", "($ billions)", "")),
_xlpm.L, $C$13="Columns",
_xlpm.Yr_hdrD, _xlfn.HSTACK(_xlfn.SEQUENCE(, Time, YearOfRegistration), "Total", "Annualized"),
_xlpm.Header_D, _xlfn.HSTACK(IF(_xlpm.L, "Impact", "Year"), _xlpm.Yr_hdrD),
_xlpm.FO_DiscountedImpacts,_xlfn.ANCHORARRAY( 'Full Output'!$W$2),
_xlpm.FO_UndiscountedImpacts,_xlfn.ANCHORARRAY( 'Full Output'!$R$2),
_xlpm.FO_IO,_xlfn.ANCHORARRAY( 'Full Output'!$D$2),
_xlpm.FO_Year,_xlfn.ANCHORARRAY( 'Full Output'!$E$2),
_xlpm.In_AnnualDiscounted, SUMIFS(_xlpm.FO_DiscountedImpacts, _xlpm.FO_IO, "In", _xlpm.FO_Year, _xlpm.Yr_hdrD)*_xlpm.Mag,
_xlpm.In_AnnualUndiscounted, SUMIFS(_xlpm.FO_UndiscountedImpacts, _xlpm.FO_IO, "In", _xlpm.FO_Year, _xlpm.Yr_hdrD)*_xlpm.Mag,
_xlpm.Out_AnnualDiscounted, -SUMIFS(_xlpm.FO_DiscountedImpacts, _xlpm.FO_IO, "Out", _xlpm.FO_Year, _xlpm.Yr_hdrD)*_xlpm.Mag,
_xlpm.Out_AnnualUndiscounted, -SUMIFS(_xlpm.FO_UndiscountedImpacts, _xlpm.FO_IO, "Out", _xlpm.FO_Year, _xlpm.Yr_hdrD)*_xlpm.Mag,
_xlpm.Net_AnnualDiscounted, -SUMIFS(_xlpm.FO_DiscountedImpacts,_xlpm.FO_Year, _xlpm.Yr_hdrD)*_xlpm.Mag,
_xlpm.Net_AnnualUndiscounted, -SUMIFS(_xlpm.FO_UndiscountedImpacts, _xlpm.FO_Year, _xlpm.Yr_hdrD)*_xlpm.Mag,
_xlpm.NUMTXT, _xlfn.LAMBDA(_xlpm.Value,_xlpm.Decimals,_xlpm.Text, IF(_xlpm.Text=1, DOLLAR(_xlpm.Value, _xlpm.Decimals), _xlpm.Value)),
_xlpm.d, --($C$9="Text"),
_xlpm.IN_D,
     _xlfn.HSTACK(IF($C$12="Discounting", "IN", "Discounted"),
     _xlpm.NUMTXT(IF(_xlpm.Yr_hdrD="Total", SUM(_xlpm.In_AnnualDiscounted), IF(_xlpm.Yr_hdrD="Annualized", SUM(_xlpm.In_AnnualDiscounted)*AF, _xlpm.In_AnnualDiscounted)), $C$10, _xlpm.d)),
_xlpm.IN_U,
     _xlfn.HSTACK(IF($C$12="Discounting", "IN", "Undiscounted"),
     IFERROR(_xlpm.NUMTXT(IF(_xlpm.Yr_hdrD="Total", SUM(_xlpm.In_AnnualUndiscounted), IF(_xlpm.Yr_hdrD="Annualized", "N/A", _xlpm.In_AnnualUndiscounted)), $C$10, _xlpm.d), "N/A")),
_xlpm.OUT_D,
     _xlfn.HSTACK(IF($C$12="Discounting", "OUT", "Discounted"),
     _xlpm.NUMTXT(IF(_xlpm.Yr_hdrD="Total", SUM(_xlpm.Out_AnnualDiscounted), IF(_xlpm.Yr_hdrD="Annualized", SUM(_xlpm.Out_AnnualDiscounted)*AF, _xlpm.Out_AnnualDiscounted)), $C$10, _xlpm.d)),
_xlpm.OUT_U,
     _xlfn.HSTACK(IF($C$12="Discounting", "OUT", "Undiscounted"),
     IFERROR(_xlpm.NUMTXT(IF(_xlpm.Yr_hdrD="Total", SUM(_xlpm.Out_AnnualUndiscounted), IF(_xlpm.Yr_hdrD="Annualized", "N/A", _xlpm.Out_AnnualUndiscounted)), $C$10, _xlpm.d), "N/A")),
_xlpm.NET_D,
     _xlfn.HSTACK(IF($C$12="Discounting", "NET", "Discounted"),
     _xlpm.NUMTXT(IF(_xlpm.Yr_hdrD="Total", SUM(_xlpm.Net_AnnualDiscounted), IF(_xlpm.Yr_hdrD="Annualized", SUM(_xlpm.Net_AnnualDiscounted)*AF, _xlpm.Net_AnnualDiscounted)), $C$10, _xlpm.d)),
_xlpm.NET_U,
     _xlfn.HSTACK(IF($C$12="Discounting", "NET", "Undiscounted"),
     IFERROR(_xlpm.NUMTXT(IF(_xlpm.Yr_hdrD="Total", SUM(_xlpm.Net_AnnualUndiscounted), IF(_xlpm.Yr_hdrD="Annualized", "N/A", _xlpm.Net_AnnualUndiscounted)), $C$10, _xlpm.d), "N/A")),
_xlpm.IN, _xlfn.LET(_xlpm.t, _xlfn.VSTACK("IN "&amp;_xlpm.Mag_txt, _xlpm.Header_D, _xlpm.IN_D, _xlpm.IN_U), IF(_xlpm.L, _xlpm.t, _xlfn.VSTACK("IN "&amp;_xlpm.Mag_txt, TRANSPOSE(_xlfn.DROP(_xlpm.t, 1))))),
_xlpm.OUT, _xlfn.LET(_xlpm.t, _xlfn.VSTACK("OUT "&amp;_xlpm.Mag_txt, _xlpm.Header_D, _xlpm.OUT_D, _xlpm.OUT_U), IF(_xlpm.L, _xlpm.t, _xlfn.VSTACK("OUT "&amp;_xlpm.Mag_txt, TRANSPOSE(_xlfn.DROP(_xlpm.t, 1))))),
_xlpm.NET, _xlfn.LET(_xlpm.t, _xlfn.VSTACK("NET "&amp;_xlpm.Mag_txt, _xlpm.Header_D, _xlpm.NET_D, _xlpm.NET_U), IF(_xlpm.L, _xlpm.t, _xlfn.VSTACK("NET "&amp;_xlpm.Mag_txt, TRANSPOSE(_xlfn.DROP(_xlpm.t, 1))))),
_xlpm.Discounted, _xlfn.LET(_xlpm.t, _xlfn.VSTACK("Discounted "&amp;_xlpm.Mag_txt, _xlpm.Header_D, _xlpm.IN_D, _xlpm.OUT_D, _xlpm.NET_D), IF(_xlpm.L, _xlpm.t, _xlfn.VSTACK("Discounted "&amp;_xlpm.Mag_txt, TRANSPOSE(_xlfn.DROP(_xlpm.t, 1))))),
_xlpm.Undiscounted, _xlfn.LET(_xlpm.t, _xlfn.DROP(_xlfn.VSTACK("Undiscounted "&amp;_xlpm.Mag_txt, _xlpm.Header_D, _xlpm.IN_U, _xlpm.OUT_U, _xlpm.NET_U),, -1), IF(_xlpm.L, _xlpm.t, _xlfn.VSTACK("Undiscounted "&amp;_xlpm.Mag_txt, TRANSPOSE(_xlfn.DROP(_xlpm.t, 1))))),
_xlpm.x, IFERROR(IF($C$12="Discounting", _xlfn.VSTACK(_xlpm.Discounted, "", "", _xlpm.Undiscounted), _xlfn.VSTACK(_xlpm.IN, "", "", _xlpm.OUT, "", "", _xlpm.NET)), ""),
_xlpm.x)</f>
        <v xml:space="preserve">Discounted </v>
      </c>
      <c r="C18" s="135" t="str">
        <v/>
      </c>
      <c r="D18" s="135" t="str">
        <v/>
      </c>
      <c r="E18" s="135" t="str">
        <v/>
      </c>
      <c r="H18" s="137"/>
    </row>
    <row r="19" spans="2:8" ht="12" x14ac:dyDescent="0.3">
      <c r="B19" s="136" t="str">
        <v>Year</v>
      </c>
      <c r="C19" s="135" t="str">
        <v>IN</v>
      </c>
      <c r="D19" s="135" t="str">
        <v>OUT</v>
      </c>
      <c r="E19" s="135" t="str">
        <v>NET</v>
      </c>
    </row>
    <row r="20" spans="2:8" x14ac:dyDescent="0.3">
      <c r="B20" s="136">
        <v>2025</v>
      </c>
      <c r="C20" s="135" t="str">
        <v>$0</v>
      </c>
      <c r="D20" s="135" t="str">
        <v>$0</v>
      </c>
      <c r="E20" s="135" t="str">
        <v>$0</v>
      </c>
    </row>
    <row r="21" spans="2:8" x14ac:dyDescent="0.3">
      <c r="B21" s="136">
        <v>2026</v>
      </c>
      <c r="C21" s="135" t="str">
        <v>$0</v>
      </c>
      <c r="D21" s="135" t="str">
        <v>$0</v>
      </c>
      <c r="E21" s="135" t="str">
        <v>$0</v>
      </c>
    </row>
    <row r="22" spans="2:8" x14ac:dyDescent="0.3">
      <c r="B22" s="136">
        <v>2027</v>
      </c>
      <c r="C22" s="135" t="str">
        <v>$0</v>
      </c>
      <c r="D22" s="135" t="str">
        <v>$0</v>
      </c>
      <c r="E22" s="135" t="str">
        <v>$0</v>
      </c>
    </row>
    <row r="23" spans="2:8" x14ac:dyDescent="0.3">
      <c r="B23" s="136">
        <v>2028</v>
      </c>
      <c r="C23" s="135" t="str">
        <v>$0</v>
      </c>
      <c r="D23" s="135" t="str">
        <v>$0</v>
      </c>
      <c r="E23" s="135" t="str">
        <v>$0</v>
      </c>
    </row>
    <row r="24" spans="2:8" x14ac:dyDescent="0.3">
      <c r="B24" s="136">
        <v>2029</v>
      </c>
      <c r="C24" s="135" t="str">
        <v>$0</v>
      </c>
      <c r="D24" s="135" t="str">
        <v>$0</v>
      </c>
      <c r="E24" s="135" t="str">
        <v>$0</v>
      </c>
    </row>
    <row r="25" spans="2:8" x14ac:dyDescent="0.3">
      <c r="B25" s="136">
        <v>2030</v>
      </c>
      <c r="C25" s="135" t="str">
        <v>$0</v>
      </c>
      <c r="D25" s="135" t="str">
        <v>$0</v>
      </c>
      <c r="E25" s="135" t="str">
        <v>$0</v>
      </c>
    </row>
    <row r="26" spans="2:8" x14ac:dyDescent="0.3">
      <c r="B26" s="136">
        <v>2031</v>
      </c>
      <c r="C26" s="135" t="str">
        <v>$0</v>
      </c>
      <c r="D26" s="135" t="str">
        <v>$0</v>
      </c>
      <c r="E26" s="135" t="str">
        <v>$0</v>
      </c>
    </row>
    <row r="27" spans="2:8" x14ac:dyDescent="0.3">
      <c r="B27" s="136">
        <v>2032</v>
      </c>
      <c r="C27" s="135" t="str">
        <v>$0</v>
      </c>
      <c r="D27" s="135" t="str">
        <v>$0</v>
      </c>
      <c r="E27" s="135" t="str">
        <v>$0</v>
      </c>
    </row>
    <row r="28" spans="2:8" x14ac:dyDescent="0.3">
      <c r="B28" s="136">
        <v>2033</v>
      </c>
      <c r="C28" s="135" t="str">
        <v>$0</v>
      </c>
      <c r="D28" s="135" t="str">
        <v>$0</v>
      </c>
      <c r="E28" s="135" t="str">
        <v>$0</v>
      </c>
    </row>
    <row r="29" spans="2:8" x14ac:dyDescent="0.3">
      <c r="B29" s="136">
        <v>2034</v>
      </c>
      <c r="C29" s="135" t="str">
        <v>$0</v>
      </c>
      <c r="D29" s="135" t="str">
        <v>$0</v>
      </c>
      <c r="E29" s="135" t="str">
        <v>$0</v>
      </c>
    </row>
    <row r="30" spans="2:8" ht="12" x14ac:dyDescent="0.3">
      <c r="B30" s="136" t="str">
        <v>Total</v>
      </c>
      <c r="C30" s="135" t="str">
        <v>$0</v>
      </c>
      <c r="D30" s="135" t="str">
        <v>$0</v>
      </c>
      <c r="E30" s="135" t="str">
        <v>$0</v>
      </c>
    </row>
    <row r="31" spans="2:8" ht="12" x14ac:dyDescent="0.3">
      <c r="B31" s="136" t="str">
        <v>Annualized</v>
      </c>
      <c r="C31" s="135" t="str">
        <v>$0</v>
      </c>
      <c r="D31" s="135" t="str">
        <v>$0</v>
      </c>
      <c r="E31" s="135" t="str">
        <v>$0</v>
      </c>
    </row>
    <row r="32" spans="2:8" x14ac:dyDescent="0.3">
      <c r="B32" s="136" t="str">
        <v/>
      </c>
      <c r="C32" s="135" t="str">
        <v/>
      </c>
      <c r="D32" s="135" t="str">
        <v/>
      </c>
      <c r="E32" s="135" t="str">
        <v/>
      </c>
    </row>
    <row r="33" spans="2:7" x14ac:dyDescent="0.3">
      <c r="B33" s="136" t="str">
        <v/>
      </c>
      <c r="C33" s="135" t="str">
        <v/>
      </c>
      <c r="D33" s="135" t="str">
        <v/>
      </c>
      <c r="E33" s="135" t="str">
        <v/>
      </c>
    </row>
    <row r="34" spans="2:7" ht="12" x14ac:dyDescent="0.3">
      <c r="B34" s="136" t="str">
        <v xml:space="preserve">Undiscounted </v>
      </c>
      <c r="C34" s="135" t="str">
        <v/>
      </c>
      <c r="D34" s="135" t="str">
        <v/>
      </c>
      <c r="E34" s="135" t="str">
        <v/>
      </c>
      <c r="G34" s="135" t="s">
        <v>152</v>
      </c>
    </row>
    <row r="35" spans="2:7" ht="12" x14ac:dyDescent="0.3">
      <c r="B35" s="136" t="str">
        <v>Year</v>
      </c>
      <c r="C35" s="135" t="str">
        <v>IN</v>
      </c>
      <c r="D35" s="135" t="str">
        <v>OUT</v>
      </c>
      <c r="E35" s="135" t="str">
        <v>NET</v>
      </c>
    </row>
    <row r="36" spans="2:7" x14ac:dyDescent="0.3">
      <c r="B36" s="136">
        <v>2025</v>
      </c>
      <c r="C36" s="135" t="str">
        <v>$0</v>
      </c>
      <c r="D36" s="135" t="str">
        <v>$0</v>
      </c>
      <c r="E36" s="135" t="str">
        <v>$0</v>
      </c>
    </row>
    <row r="37" spans="2:7" x14ac:dyDescent="0.3">
      <c r="B37" s="136">
        <v>2026</v>
      </c>
      <c r="C37" s="135" t="str">
        <v>$0</v>
      </c>
      <c r="D37" s="135" t="str">
        <v>$0</v>
      </c>
      <c r="E37" s="135" t="str">
        <v>$0</v>
      </c>
    </row>
    <row r="38" spans="2:7" x14ac:dyDescent="0.3">
      <c r="B38" s="136">
        <v>2027</v>
      </c>
      <c r="C38" s="135" t="str">
        <v>$0</v>
      </c>
      <c r="D38" s="135" t="str">
        <v>$0</v>
      </c>
      <c r="E38" s="135" t="str">
        <v>$0</v>
      </c>
    </row>
    <row r="39" spans="2:7" x14ac:dyDescent="0.3">
      <c r="B39" s="136">
        <v>2028</v>
      </c>
      <c r="C39" s="135" t="str">
        <v>$0</v>
      </c>
      <c r="D39" s="135" t="str">
        <v>$0</v>
      </c>
      <c r="E39" s="135" t="str">
        <v>$0</v>
      </c>
    </row>
    <row r="40" spans="2:7" x14ac:dyDescent="0.3">
      <c r="B40" s="136">
        <v>2029</v>
      </c>
      <c r="C40" s="135" t="str">
        <v>$0</v>
      </c>
      <c r="D40" s="135" t="str">
        <v>$0</v>
      </c>
      <c r="E40" s="135" t="str">
        <v>$0</v>
      </c>
    </row>
    <row r="41" spans="2:7" x14ac:dyDescent="0.3">
      <c r="B41" s="136">
        <v>2030</v>
      </c>
      <c r="C41" s="135" t="str">
        <v>$0</v>
      </c>
      <c r="D41" s="135" t="str">
        <v>$0</v>
      </c>
      <c r="E41" s="135" t="str">
        <v>$0</v>
      </c>
    </row>
    <row r="42" spans="2:7" x14ac:dyDescent="0.3">
      <c r="B42" s="136">
        <v>2031</v>
      </c>
      <c r="C42" s="135" t="str">
        <v>$0</v>
      </c>
      <c r="D42" s="135" t="str">
        <v>$0</v>
      </c>
      <c r="E42" s="135" t="str">
        <v>$0</v>
      </c>
    </row>
    <row r="43" spans="2:7" x14ac:dyDescent="0.3">
      <c r="B43" s="136">
        <v>2032</v>
      </c>
      <c r="C43" s="135" t="str">
        <v>$0</v>
      </c>
      <c r="D43" s="135" t="str">
        <v>$0</v>
      </c>
      <c r="E43" s="135" t="str">
        <v>$0</v>
      </c>
    </row>
    <row r="44" spans="2:7" x14ac:dyDescent="0.3">
      <c r="B44" s="136">
        <v>2033</v>
      </c>
      <c r="C44" s="135" t="str">
        <v>$0</v>
      </c>
      <c r="D44" s="135" t="str">
        <v>$0</v>
      </c>
      <c r="E44" s="135" t="str">
        <v>$0</v>
      </c>
    </row>
    <row r="45" spans="2:7" x14ac:dyDescent="0.3">
      <c r="B45" s="136">
        <v>2034</v>
      </c>
      <c r="C45" s="135" t="str">
        <v>$0</v>
      </c>
      <c r="D45" s="135" t="str">
        <v>$0</v>
      </c>
      <c r="E45" s="135" t="str">
        <v>$0</v>
      </c>
    </row>
    <row r="46" spans="2:7" ht="12" x14ac:dyDescent="0.3">
      <c r="B46" s="136" t="str">
        <v>Total</v>
      </c>
      <c r="C46" s="135" t="str">
        <v>$0</v>
      </c>
      <c r="D46" s="135" t="str">
        <v>$0</v>
      </c>
      <c r="E46" s="135" t="str">
        <v>$0</v>
      </c>
    </row>
  </sheetData>
  <dataConsolidate/>
  <mergeCells count="2">
    <mergeCell ref="D6:D8"/>
    <mergeCell ref="D9:D13"/>
  </mergeCells>
  <conditionalFormatting sqref="B16">
    <cfRule type="notContainsBlanks" dxfId="44" priority="1">
      <formula>LEN(TRIM(B16))&gt;0</formula>
    </cfRule>
  </conditionalFormatting>
  <conditionalFormatting sqref="B18:CZ501">
    <cfRule type="endsWith" dxfId="43" priority="3" operator="endsWith" text="illions)">
      <formula>RIGHT(B18,LEN("illions)"))="illions)"</formula>
    </cfRule>
    <cfRule type="expression" dxfId="42" priority="4">
      <formula>$B18="Total"</formula>
    </cfRule>
    <cfRule type="expression" dxfId="41" priority="5">
      <formula>$B18="Undiscounted "</formula>
    </cfRule>
    <cfRule type="expression" dxfId="40" priority="6">
      <formula>$B18="Discounted "</formula>
    </cfRule>
    <cfRule type="expression" dxfId="39" priority="7">
      <formula>$B18="NET "</formula>
    </cfRule>
    <cfRule type="expression" dxfId="38" priority="8">
      <formula>$B18="OUT "</formula>
    </cfRule>
    <cfRule type="expression" dxfId="37" priority="9">
      <formula>$B18="IN "</formula>
    </cfRule>
    <cfRule type="expression" dxfId="36" priority="10">
      <formula>$B18="Year"</formula>
    </cfRule>
    <cfRule type="expression" dxfId="35" priority="12">
      <formula>$B18="Annualized"</formula>
    </cfRule>
    <cfRule type="expression" dxfId="34" priority="13">
      <formula>$B18="Impact"</formula>
    </cfRule>
    <cfRule type="expression" dxfId="33" priority="15">
      <formula>$B18="Activity"</formula>
    </cfRule>
    <cfRule type="notContainsBlanks" dxfId="32" priority="16">
      <formula>LEN(TRIM(B18))&gt;0</formula>
    </cfRule>
  </conditionalFormatting>
  <dataValidations xWindow="548" yWindow="382" count="6">
    <dataValidation type="list" allowBlank="1" showInputMessage="1" showErrorMessage="1" sqref="C13" xr:uid="{35D2A821-0E41-42D5-8EC4-2936ECDB8910}">
      <formula1>"Columns, Rows"</formula1>
    </dataValidation>
    <dataValidation type="list" allowBlank="1" showInputMessage="1" showErrorMessage="1" sqref="C12" xr:uid="{4BA29421-5F3E-48CA-9343-AA5F8B99B85D}">
      <formula1>"Discounting, IN | OUT | NET"</formula1>
    </dataValidation>
    <dataValidation type="list" allowBlank="1" showInputMessage="1" showErrorMessage="1" sqref="C10" xr:uid="{67860D19-3AF7-4D82-8711-C50370CDE8D1}">
      <formula1>"0, 1, 2, 3, 4"</formula1>
    </dataValidation>
    <dataValidation type="list" allowBlank="1" showInputMessage="1" showErrorMessage="1" sqref="C11" xr:uid="{CC6CCD21-03A2-47A9-A0C6-4F8F73AE7D5F}">
      <formula1>"Single, Millions, Billions"</formula1>
    </dataValidation>
    <dataValidation type="list" allowBlank="1" showInputMessage="1" showErrorMessage="1" prompt="Text: for copy-pasting into Word. _x000a__x000a_Numbers: for additional manipulations in Excel." sqref="C9:C10" xr:uid="{F3A6CDC7-F5C4-42F1-BA3C-BF1D6A17FE4C}">
      <formula1>"Text, Numbers"</formula1>
    </dataValidation>
    <dataValidation type="list" allowBlank="1" showInputMessage="1" showErrorMessage="1" sqref="C9:C10" xr:uid="{4E4F8827-F38B-4A2A-9DEE-4D0FDE340B38}">
      <formula1>"Text, Numbers"</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6A67EB-1517-4DD5-A8C6-A908CDF6C143}">
  <sheetPr codeName="Sheet10">
    <tabColor rgb="FFF4EE00"/>
    <pageSetUpPr autoPageBreaks="0"/>
  </sheetPr>
  <dimension ref="B2:H19"/>
  <sheetViews>
    <sheetView showGridLines="0" zoomScaleNormal="100" workbookViewId="0">
      <selection activeCell="B19" sqref="B19"/>
    </sheetView>
  </sheetViews>
  <sheetFormatPr defaultColWidth="14" defaultRowHeight="11.4" x14ac:dyDescent="0.3"/>
  <cols>
    <col min="1" max="1" width="5.109375" style="135" customWidth="1"/>
    <col min="2" max="2" width="45.88671875" style="136" customWidth="1"/>
    <col min="3" max="3" width="20.88671875" style="135" customWidth="1"/>
    <col min="4" max="8" width="14" style="135"/>
    <col min="9" max="9" width="14" style="135" customWidth="1"/>
    <col min="10" max="16384" width="14" style="135"/>
  </cols>
  <sheetData>
    <row r="2" spans="2:5" ht="15.6" x14ac:dyDescent="0.3">
      <c r="B2" s="156" t="s">
        <v>153</v>
      </c>
      <c r="C2" s="139"/>
      <c r="D2" s="139"/>
      <c r="E2" s="139"/>
    </row>
    <row r="3" spans="2:5" ht="13.2" x14ac:dyDescent="0.25">
      <c r="B3" s="157"/>
      <c r="C3" s="139"/>
      <c r="D3" s="139"/>
      <c r="E3" s="139"/>
    </row>
    <row r="4" spans="2:5" ht="13.2" x14ac:dyDescent="0.25">
      <c r="B4" s="157"/>
      <c r="C4" s="139"/>
      <c r="D4" s="139"/>
      <c r="E4" s="139"/>
    </row>
    <row r="5" spans="2:5" ht="13.2" x14ac:dyDescent="0.25">
      <c r="B5" s="141" t="s">
        <v>131</v>
      </c>
      <c r="C5" s="142" t="s">
        <v>132</v>
      </c>
      <c r="D5" s="214" t="s">
        <v>133</v>
      </c>
      <c r="E5" s="139"/>
    </row>
    <row r="6" spans="2:5" ht="13.2" x14ac:dyDescent="0.3">
      <c r="B6" s="144" t="s">
        <v>111</v>
      </c>
      <c r="C6" s="145">
        <f>PriceYear</f>
        <v>2024</v>
      </c>
      <c r="D6" s="262" t="s">
        <v>135</v>
      </c>
      <c r="E6" s="139"/>
    </row>
    <row r="7" spans="2:5" ht="13.2" x14ac:dyDescent="0.3">
      <c r="B7" s="146" t="s">
        <v>112</v>
      </c>
      <c r="C7" s="239">
        <f>Discount</f>
        <v>7.0000000000000007E-2</v>
      </c>
      <c r="D7" s="262"/>
      <c r="E7" s="139"/>
    </row>
    <row r="8" spans="2:5" ht="13.2" x14ac:dyDescent="0.3">
      <c r="B8" s="146" t="s">
        <v>145</v>
      </c>
      <c r="C8" s="147">
        <f>PVBaseYear</f>
        <v>2025</v>
      </c>
      <c r="D8" s="262"/>
      <c r="E8" s="139"/>
    </row>
    <row r="9" spans="2:5" ht="15" customHeight="1" x14ac:dyDescent="0.3">
      <c r="B9" s="148" t="s">
        <v>136</v>
      </c>
      <c r="C9" s="149" t="s">
        <v>137</v>
      </c>
      <c r="D9" s="263" t="s">
        <v>146</v>
      </c>
      <c r="E9" s="139"/>
    </row>
    <row r="10" spans="2:5" ht="13.2" x14ac:dyDescent="0.3">
      <c r="B10" s="150" t="s">
        <v>139</v>
      </c>
      <c r="C10" s="151">
        <v>0</v>
      </c>
      <c r="D10" s="264"/>
      <c r="E10" s="152"/>
    </row>
    <row r="11" spans="2:5" ht="13.2" x14ac:dyDescent="0.3">
      <c r="B11" s="150" t="s">
        <v>140</v>
      </c>
      <c r="C11" s="151" t="s">
        <v>141</v>
      </c>
      <c r="D11" s="264"/>
      <c r="E11" s="139"/>
    </row>
    <row r="12" spans="2:5" ht="13.2" x14ac:dyDescent="0.3">
      <c r="B12" s="150" t="s">
        <v>147</v>
      </c>
      <c r="C12" s="151" t="s">
        <v>148</v>
      </c>
      <c r="D12" s="264"/>
      <c r="E12" s="139"/>
    </row>
    <row r="13" spans="2:5" ht="13.2" x14ac:dyDescent="0.3">
      <c r="B13" s="150" t="s">
        <v>142</v>
      </c>
      <c r="C13" s="151" t="s">
        <v>143</v>
      </c>
      <c r="D13" s="264"/>
      <c r="E13" s="139"/>
    </row>
    <row r="14" spans="2:5" ht="13.2" x14ac:dyDescent="0.3">
      <c r="B14" s="153" t="s">
        <v>149</v>
      </c>
      <c r="C14" s="154" t="s">
        <v>154</v>
      </c>
      <c r="D14" s="265"/>
      <c r="E14" s="139"/>
    </row>
    <row r="15" spans="2:5" ht="13.2" x14ac:dyDescent="0.3">
      <c r="B15" s="152"/>
      <c r="C15" s="139"/>
      <c r="D15" s="139"/>
      <c r="E15" s="139"/>
    </row>
    <row r="16" spans="2:5" ht="13.2" x14ac:dyDescent="0.3">
      <c r="B16" s="155" t="s">
        <v>151</v>
      </c>
      <c r="C16" s="139"/>
      <c r="D16" s="139"/>
      <c r="E16" s="139"/>
    </row>
    <row r="17" spans="2:8" ht="13.2" x14ac:dyDescent="0.3">
      <c r="B17" s="152" t="str" cm="1">
        <f t="array" ref="B17">IF(NoErrors, "", IF(OneError, "There is an unresolved error on the Activities sheet.", "There are unresolved errors on the Activities sheet."))</f>
        <v>There is an unresolved error on the Activities sheet.</v>
      </c>
    </row>
    <row r="19" spans="2:8" s="159" customFormat="1" ht="12" x14ac:dyDescent="0.3">
      <c r="B19" s="158" t="str" cm="1">
        <f t="array" ref="B19">_xlfn.LET(
_xlpm.M, 1/10^IF($C$11="Millions", 6, IF($C$11="Billions", 9)),
_xlpm.M_txt, IF($C$11="Millions", " ($ millions)", IF($C$11="Billions", " ($ billions)", "")),
_xlpm.L, $C$14="Columns",
_xlpm.A, _xlfn.UNIQUE(_xlfn._xlws.FILTER(tbl_Activities[Activity], Checkblank)),
_xlpm.A_IN, _xlfn.UNIQUE(_xlfn._xlws.FILTER(tbl_Activities[Activity], (tbl_Activities[In or Out]="In")*Checkblank)),
_xlpm.A_OUT, _xlfn.UNIQUE(_xlfn._xlws.FILTER(tbl_Activities[Activity], (tbl_Activities[In or Out]="Out")*Checkblank)),
_xlpm.B, _xlfn.VSTACK("", ""),
_xlpm.s, IF($C$13="Default", 1, IF($C$13="Total Impact (↑)", 2, IF($C$13="Total Impact (↓)", 3, IF($C$13="Activity (↑az)", 4, IF($C$13="Activity (↓za)", 5))))),
_xlpm.hd, _xlfn.HSTACK("Activity", YrsHdr_D),
_xlpm.hu, _xlfn.HSTACK("Activity", YrsHdr_U),
_xlpm.id, "IN, Discounted"&amp;_xlpm.M_txt,
_xlpm.iu, "IN, Undiscounted"&amp;_xlpm.M_txt,
_xlpm.od, "OUT, Discounted"&amp;_xlpm.M_txt,
_xlpm.ou, "OUT, Undiscounted"&amp;_xlpm.M_txt,
_xlpm.nd, "NET, Discounted"&amp;_xlpm.M_txt,
_xlpm.nu, "NET, Undiscounted"&amp;_xlpm.M_txt,
_xlpm.d, --($C$9="Text"),
_xlpm.NUMTXT, _xlfn.LAMBDA(_xlpm.Value,_xlpm.Decimals,_xlpm.Text, IF(_xlpm.Text=1, DOLLAR(_xlpm.Value, _xlpm.Decimals), _xlpm.Value)),
_xlpm.IN_D,
     _xlfn.LET(_xlpm.x, _xlfn.MAKEARRAY(ROWS(_xlpm.A_IN), Time, _xlfn.LAMBDA(_xlpm.r,_xlpm.c,
     SUMIFS(FO_ImpactD, FO_InOut, "In", FO_Yrs, INDEX(Yrs, _xlpm.c), FO_Act, INDEX(_xlpm.A_IN, _xlpm.r)))),
     _xlpm.y, _xlfn.BYROW(_xlpm.x, _xlfn.LAMBDA(_xlpm.a, SUM(_xlpm.a))),
     _xlpm.z, _xlfn.HSTACK(_xlpm.x, _xlpm.y, _xlpm.y*AF),
     _xlpm.e, _xlfn.HSTACK(_xlpm.A_IN, _xlpm.z),
     _xlpm.f, IF(_xlpm.s=1, _xlpm.e, _xlfn._xlws.SORT(_xlpm.e, IF(_xlpm.s&lt;4, COLUMNS(_xlpm.e), 1), IF(ISEVEN(_xlpm.s), 1, -1))),
     _xlpm.g, _xlfn.HSTACK(_xlfn.TAKE(_xlpm.f,, 1), _xlpm.NUMTXT(_xlfn.DROP(_xlpm.f,, 1)*_xlpm.M, $C$10, _xlpm.d)),
     _xlpm.t, _xlfn.DROP(_xlfn.VSTACK(_xlpm.id, _xlpm.hd, _xlpm.g, _xlfn.HSTACK("Total", _xlpm.NUMTXT(_xlfn.BYCOL(_xlpm.z, _xlfn.LAMBDA(_xlpm.b, SUM(_xlpm.b)))*_xlpm.M, $C$10, _xlpm.d)), ""), IF(_xlpm.L, 0, 1)),
     IF(_xlpm.L, _xlpm.t, _xlfn.VSTACK(_xlpm.id, _xlfn.HSTACK("Year", TRANSPOSE(INDEX(_xlpm.f,, 1)), "Total"), _xlfn.DROP(TRANSPOSE(_xlpm.t), 1), ""))),
_xlpm.IN_U,
     _xlfn.LET(_xlpm.x, _xlfn.MAKEARRAY(ROWS(_xlpm.A_IN), Time, _xlfn.LAMBDA(_xlpm.r,_xlpm.c,
     SUMIFS(FO_ImpactU, FO_InOut, "In", FO_Yrs, INDEX(Yrs, _xlpm.c), FO_Act, INDEX(_xlpm.A_IN, _xlpm.r)))),
     _xlpm.y, _xlfn.BYROW(_xlpm.x, _xlfn.LAMBDA(_xlpm.a, SUM(_xlpm.a))),
     _xlpm.z, _xlfn.HSTACK(_xlpm.x, _xlpm.y),
     _xlpm.e, _xlfn.HSTACK(_xlpm.A_IN, _xlpm.z),
     _xlpm.f, IF(_xlpm.s=1, _xlpm.e, _xlfn._xlws.SORT(_xlpm.e, IF(_xlpm.s&lt;4, COLUMNS(_xlpm.e), 1), IF(ISEVEN(_xlpm.s), 1, -1))),
     _xlpm.g, _xlfn.HSTACK(_xlfn.TAKE(_xlpm.f,, 1), _xlpm.NUMTXT(_xlfn.DROP(_xlpm.f,, 1)*_xlpm.M, $C$10, _xlpm.d)),
     _xlpm.t, _xlfn.DROP(_xlfn.VSTACK(_xlpm.iu, _xlpm.hu, _xlpm.g, _xlfn.HSTACK("Total", _xlpm.NUMTXT(_xlfn.BYCOL(_xlpm.z, _xlfn.LAMBDA(_xlpm.b, SUM(_xlpm.b)))*_xlpm.M, $C$10, _xlpm.d)), ""), IF(_xlpm.L, 0, 1)),
     IF(_xlpm.L, _xlpm.t, _xlfn.VSTACK(_xlpm.iu, _xlfn.HSTACK("Year", TRANSPOSE(INDEX(_xlpm.f,, 1)), "Total"), _xlfn.DROP(TRANSPOSE(_xlpm.t), 1), ""))),
_xlpm.OUT_D,
     _xlfn.LET(_xlpm.x, _xlfn.MAKEARRAY(ROWS(_xlpm.A_OUT), Time, _xlfn.LAMBDA(_xlpm.r,_xlpm.c,
     SUMIFS(FO_ImpactD, FO_InOut, "Out", FO_Yrs, INDEX(Yrs, _xlpm.c), FO_Act, INDEX(_xlpm.A_OUT, _xlpm.r)))),
     _xlpm.y, _xlfn.BYROW(_xlpm.x, _xlfn.LAMBDA(_xlpm.a, SUM(_xlpm.a))),
     _xlpm.z, -_xlfn.HSTACK(_xlpm.x, _xlpm.y, _xlpm.y*AF),
     _xlpm.e, _xlfn.HSTACK(_xlpm.A_OUT, _xlpm.z),
     _xlpm.f, IF(_xlpm.s=1, _xlpm.e, _xlfn._xlws.SORT(_xlpm.e, IF(_xlpm.s&lt;4, COLUMNS(_xlpm.e), 1), IF(ISEVEN(_xlpm.s), 1, -1))),
     _xlpm.g, _xlfn.HSTACK(_xlfn.TAKE(_xlpm.f,, 1), _xlpm.NUMTXT(_xlfn.DROP(_xlpm.f,, 1)*_xlpm.M, $C$10, _xlpm.d)),
     _xlpm.t, _xlfn.DROP(_xlfn.VSTACK(_xlpm.od, _xlpm.hd, _xlpm.g, _xlfn.HSTACK("Total", _xlpm.NUMTXT(_xlfn.BYCOL(_xlpm.z, _xlfn.LAMBDA(_xlpm.b, SUM(_xlpm.b)))*_xlpm.M, $C$10, _xlpm.d)), ""), IF(_xlpm.L, 0, 1)),
     IF(_xlpm.L, _xlpm.t, _xlfn.VSTACK(_xlpm.od, _xlfn.HSTACK("Year", TRANSPOSE(INDEX(_xlpm.f,, 1)), "Total"), _xlfn.DROP(TRANSPOSE(_xlpm.t), 1), ""))),
_xlpm.OUT_U,
     _xlfn.LET(_xlpm.x, _xlfn.MAKEARRAY(ROWS(_xlpm.A_OUT), Time, _xlfn.LAMBDA(_xlpm.r,_xlpm.c,
     SUMIFS(FO_ImpactU, FO_InOut, "Out", FO_Yrs, INDEX(Yrs, _xlpm.c), FO_Act, INDEX(_xlpm.A_OUT, _xlpm.r)))),
     _xlpm.y, _xlfn.BYROW(_xlpm.x, _xlfn.LAMBDA(_xlpm.a, SUM(_xlpm.a))),
     _xlpm.z, -_xlfn.HSTACK(_xlpm.x, _xlpm.y),
     _xlpm.e, _xlfn.HSTACK(_xlpm.A_OUT, _xlpm.z),
     _xlpm.f, IF(_xlpm.s=1, _xlpm.e, _xlfn._xlws.SORT(_xlpm.e, IF(_xlpm.s&lt;4, COLUMNS(_xlpm.e), 1), IF(ISEVEN(_xlpm.s), 1, -1))),
     _xlpm.g, _xlfn.HSTACK(_xlfn.TAKE(_xlpm.f,, 1), _xlpm.NUMTXT(_xlfn.DROP(_xlpm.f,, 1)*_xlpm.M, $C$10, _xlpm.d)),
     _xlpm.t, _xlfn.DROP(_xlfn.VSTACK(_xlpm.ou, _xlpm.hu, _xlpm.g, _xlfn.HSTACK("Total", _xlpm.NUMTXT(_xlfn.BYCOL(_xlpm.z, _xlfn.LAMBDA(_xlpm.b, SUM(_xlpm.b)))*_xlpm.M, $C$10, _xlpm.d)), ""), IF(_xlpm.L, 0, 1)),
     IF(_xlpm.L, _xlpm.t, _xlfn.VSTACK(_xlpm.ou, _xlfn.HSTACK("Year", TRANSPOSE(INDEX(_xlpm.f,, 1)), "Total"), _xlfn.DROP(TRANSPOSE(_xlpm.t), 1), ""))),
_xlpm.NET_D,
     _xlfn.LET(_xlpm.x, _xlfn.MAKEARRAY(ROWS(_xlpm.A), Time, _xlfn.LAMBDA(_xlpm.r,_xlpm.c,
     SUMIFS(FO_ImpactD, FO_Yrs, INDEX(Yrs, _xlpm.c), FO_Act, INDEX(_xlpm.A, _xlpm.r)))),
     _xlpm.y, _xlfn.BYROW(_xlpm.x, _xlfn.LAMBDA(_xlpm.a, SUM(_xlpm.a))),
     _xlpm.z, -_xlfn.HSTACK(_xlpm.x, _xlpm.y, _xlpm.y*AF),
     _xlpm.e, _xlfn.HSTACK(_xlpm.A, _xlpm.z),
     _xlpm.f, IF(_xlpm.s=1, _xlpm.e, _xlfn._xlws.SORT(_xlpm.e, IF(_xlpm.s&lt;4, COLUMNS(_xlpm.e), 1), IF(ISEVEN(_xlpm.s), 1, -1))),
     _xlpm.g, _xlfn.HSTACK(_xlfn.TAKE(_xlpm.f,, 1), _xlpm.NUMTXT(_xlfn.DROP(_xlpm.f,, 1)*_xlpm.M, $C$10, _xlpm.d)),
     _xlpm.t, _xlfn.DROP(_xlfn.VSTACK(_xlpm.nd, _xlpm.hd, _xlpm.g, _xlfn.HSTACK("Total", _xlpm.NUMTXT(_xlfn.BYCOL(_xlpm.z, _xlfn.LAMBDA(_xlpm.b, SUM(_xlpm.b)))*_xlpm.M, $C$10, _xlpm.d)), ""), IF(_xlpm.L, 0, 1)),
     IF(_xlpm.L, _xlpm.t, _xlfn.VSTACK(_xlpm.nd, _xlfn.HSTACK("Year", TRANSPOSE(INDEX(_xlpm.f,, 1)), "Total"), _xlfn.DROP(TRANSPOSE(_xlpm.t), 1), ""))),
_xlpm.NET_U,
     _xlfn.LET(_xlpm.x, _xlfn.MAKEARRAY(ROWS(_xlpm.A), Time, _xlfn.LAMBDA(_xlpm.r,_xlpm.c,
     SUMIFS(FO_ImpactU, FO_Yrs, INDEX(Yrs, _xlpm.c), FO_Act, INDEX(_xlpm.A, _xlpm.r)))),
     _xlpm.y, _xlfn.BYROW(_xlpm.x, _xlfn.LAMBDA(_xlpm.a, SUM(_xlpm.a))),
     _xlpm.z, -_xlfn.HSTACK(_xlpm.x, _xlpm.y),
     _xlpm.e, _xlfn.HSTACK(_xlpm.A, _xlpm.z),
     _xlpm.f, IF(_xlpm.s=1, _xlpm.e, _xlfn._xlws.SORT(_xlpm.e, IF(_xlpm.s&lt;4, COLUMNS(_xlpm.e), 1), IF(ISEVEN(_xlpm.s), 1, -1))),
     _xlpm.g, _xlfn.HSTACK(_xlfn.TAKE(_xlpm.f,, 1), _xlpm.NUMTXT(_xlfn.DROP(_xlpm.f,, 1)*_xlpm.M, $C$10, _xlpm.d)),
     _xlpm.t, _xlfn.DROP(_xlfn.VSTACK(_xlpm.nu, _xlpm.hu, _xlpm.g, _xlfn.HSTACK("Total", _xlpm.NUMTXT(_xlfn.BYCOL(_xlpm.z, _xlfn.LAMBDA(_xlpm.b, SUM(_xlpm.b)))*_xlpm.M, $C$10, _xlpm.d)), ""), IF(_xlpm.L, 0, 1)),
     IF(_xlpm.L, _xlpm.t, _xlfn.VSTACK(_xlpm.nu, _xlfn.HSTACK("Year", TRANSPOSE(INDEX(_xlpm.f,, 1)), "Total"), _xlfn.DROP(TRANSPOSE(_xlpm.t), 1), ""))),
_xlpm.o_1, IF(NoIn, _xlpm.OUT_D, _xlpm.IN_D),
_xlpm.o_2, IF(NoIn, _xlpm.OUT_U, _xlpm.IN_U),
_xlpm.o_3, IF(OneType, _xlpm.NET_D, _xlpm.OUT_D),
_xlpm.o_4, IF(OneType, _xlpm.NET_U, _xlpm.OUT_U),
_xlpm.o_5, IF(OneType, "", _xlpm.NET_D),
_xlpm.o_6, IF(OneType, "", _xlpm.NET_U),
_xlpm.g, IFERROR(IF($C$12="Discounting", _xlfn.VSTACK(_xlpm.o_1, _xlpm.o_3, _xlpm.o_5, _xlfn.DROP(_xlpm.B, IF(OneType, 1, 0)), _xlpm.o_2, _xlpm.o_4, _xlpm.o_6), _xlfn.VSTACK(_xlpm.o_1, _xlpm.o_2, _xlpm.B, _xlpm.o_3, _xlpm.o_4, _xlpm.B, _xlpm.o_5, _xlpm.o_6)), ""),
_xlpm.g)</f>
        <v/>
      </c>
      <c r="H19" s="160"/>
    </row>
  </sheetData>
  <dataConsolidate/>
  <mergeCells count="2">
    <mergeCell ref="D6:D8"/>
    <mergeCell ref="D9:D14"/>
  </mergeCells>
  <conditionalFormatting sqref="B17">
    <cfRule type="notContainsBlanks" dxfId="31" priority="1">
      <formula>LEN(TRIM(B17))&gt;0</formula>
    </cfRule>
  </conditionalFormatting>
  <conditionalFormatting sqref="B20:CZ502">
    <cfRule type="expression" dxfId="30" priority="10">
      <formula>$B20="Year"</formula>
    </cfRule>
    <cfRule type="expression" dxfId="29" priority="11">
      <formula>$B21="Year"</formula>
    </cfRule>
    <cfRule type="expression" dxfId="28" priority="12">
      <formula>$B20="Annualized"</formula>
    </cfRule>
    <cfRule type="expression" dxfId="27" priority="16">
      <formula>$B20="Total"</formula>
    </cfRule>
    <cfRule type="containsText" dxfId="26" priority="17" operator="containsText" text="Discounted">
      <formula>NOT(ISERROR(SEARCH("Discounted",B20)))</formula>
    </cfRule>
    <cfRule type="expression" dxfId="25" priority="19">
      <formula>$B20="Activity"</formula>
    </cfRule>
    <cfRule type="notContainsBlanks" dxfId="24" priority="20">
      <formula>LEN(TRIM(B20))&gt;0</formula>
    </cfRule>
  </conditionalFormatting>
  <dataValidations xWindow="561" yWindow="383" count="6">
    <dataValidation type="list" allowBlank="1" showInputMessage="1" showErrorMessage="1" sqref="C11" xr:uid="{33911ECE-E735-4281-AC04-5023BF046E61}">
      <formula1>"Single, Millions, Billions"</formula1>
    </dataValidation>
    <dataValidation type="list" allowBlank="1" showInputMessage="1" showErrorMessage="1" sqref="C10" xr:uid="{A508D99E-B10C-40FD-B22E-F6612B66D71C}">
      <formula1>"0, 1, 2, 3, 4"</formula1>
    </dataValidation>
    <dataValidation type="list" allowBlank="1" showInputMessage="1" showErrorMessage="1" sqref="C12" xr:uid="{9BF04C39-5745-46AD-93A6-9BC3CD6F5421}">
      <formula1>"Discounting, IN | OUT | NET"</formula1>
    </dataValidation>
    <dataValidation type="list" allowBlank="1" showInputMessage="1" showErrorMessage="1" sqref="C14" xr:uid="{12B2E336-BF3E-403D-9329-D28E92A0BD05}">
      <formula1>"Columns, Rows"</formula1>
    </dataValidation>
    <dataValidation type="list" allowBlank="1" showInputMessage="1" showErrorMessage="1" prompt="Default lists the activities by the order in which they appear on the Activities sheet." sqref="C13" xr:uid="{581A222D-4809-432F-A3B7-71CB7A553B0E}">
      <formula1>"Default, Total Impact (↑), Total Impact (↓), Activity (↑az), Activity (↓za)"</formula1>
    </dataValidation>
    <dataValidation type="list" allowBlank="1" showInputMessage="1" showErrorMessage="1" prompt="Text: for copy-pasting into Word. _x000a__x000a_Numbers: for additional manipulations in Excel." sqref="C9:C10" xr:uid="{020A922A-1593-47BC-9AE4-6BFFE6AE8134}">
      <formula1>"Text, Numbers"</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7A434-BAE3-4084-A60F-A515E04FFF87}">
  <sheetPr codeName="Sheet11">
    <tabColor rgb="FFF4EE00"/>
  </sheetPr>
  <dimension ref="B2:E20"/>
  <sheetViews>
    <sheetView showGridLines="0" zoomScaleNormal="100" workbookViewId="0">
      <selection activeCell="B19" sqref="B19"/>
    </sheetView>
  </sheetViews>
  <sheetFormatPr defaultColWidth="16.33203125" defaultRowHeight="11.4" x14ac:dyDescent="0.3"/>
  <cols>
    <col min="1" max="1" width="9" style="135" customWidth="1"/>
    <col min="2" max="2" width="46.44140625" style="164" customWidth="1"/>
    <col min="3" max="3" width="22" style="135" customWidth="1"/>
    <col min="4" max="5" width="16.33203125" style="135"/>
    <col min="6" max="6" width="15.33203125" style="135" customWidth="1"/>
    <col min="7" max="19" width="16.33203125" style="135"/>
    <col min="20" max="20" width="17" style="135" customWidth="1"/>
    <col min="21" max="16384" width="16.33203125" style="135"/>
  </cols>
  <sheetData>
    <row r="2" spans="2:5" ht="15.6" x14ac:dyDescent="0.3">
      <c r="B2" s="161" t="s">
        <v>155</v>
      </c>
      <c r="C2" s="139"/>
      <c r="D2" s="139"/>
    </row>
    <row r="3" spans="2:5" ht="13.2" x14ac:dyDescent="0.3">
      <c r="B3" s="162"/>
      <c r="C3" s="139"/>
      <c r="D3" s="139"/>
    </row>
    <row r="4" spans="2:5" ht="13.2" x14ac:dyDescent="0.3">
      <c r="B4" s="162"/>
      <c r="C4" s="139"/>
      <c r="D4" s="139"/>
    </row>
    <row r="5" spans="2:5" ht="13.2" x14ac:dyDescent="0.3">
      <c r="B5" s="163" t="s">
        <v>131</v>
      </c>
      <c r="C5" s="143" t="s">
        <v>132</v>
      </c>
      <c r="D5" s="214" t="s">
        <v>133</v>
      </c>
    </row>
    <row r="6" spans="2:5" ht="13.2" x14ac:dyDescent="0.3">
      <c r="B6" s="144" t="s">
        <v>111</v>
      </c>
      <c r="C6" s="145">
        <f>PriceYear</f>
        <v>2024</v>
      </c>
      <c r="D6" s="261" t="s">
        <v>135</v>
      </c>
    </row>
    <row r="7" spans="2:5" ht="13.2" x14ac:dyDescent="0.3">
      <c r="B7" s="146" t="s">
        <v>112</v>
      </c>
      <c r="C7" s="239">
        <f>Discount</f>
        <v>7.0000000000000007E-2</v>
      </c>
      <c r="D7" s="262"/>
    </row>
    <row r="8" spans="2:5" ht="13.2" x14ac:dyDescent="0.3">
      <c r="B8" s="146" t="s">
        <v>145</v>
      </c>
      <c r="C8" s="147">
        <f>PVBaseYear</f>
        <v>2025</v>
      </c>
      <c r="D8" s="262"/>
    </row>
    <row r="9" spans="2:5" ht="15" customHeight="1" x14ac:dyDescent="0.3">
      <c r="B9" s="148" t="s">
        <v>136</v>
      </c>
      <c r="C9" s="149" t="s">
        <v>137</v>
      </c>
      <c r="D9" s="263" t="s">
        <v>146</v>
      </c>
    </row>
    <row r="10" spans="2:5" ht="13.2" x14ac:dyDescent="0.3">
      <c r="B10" s="150" t="s">
        <v>139</v>
      </c>
      <c r="C10" s="151">
        <v>0</v>
      </c>
      <c r="D10" s="264"/>
      <c r="E10" s="164"/>
    </row>
    <row r="11" spans="2:5" ht="13.2" x14ac:dyDescent="0.3">
      <c r="B11" s="150" t="s">
        <v>140</v>
      </c>
      <c r="C11" s="151" t="s">
        <v>141</v>
      </c>
      <c r="D11" s="264"/>
    </row>
    <row r="12" spans="2:5" ht="13.2" x14ac:dyDescent="0.3">
      <c r="B12" s="150" t="s">
        <v>147</v>
      </c>
      <c r="C12" s="151" t="s">
        <v>148</v>
      </c>
      <c r="D12" s="264"/>
    </row>
    <row r="13" spans="2:5" ht="13.2" x14ac:dyDescent="0.3">
      <c r="B13" s="150" t="s">
        <v>142</v>
      </c>
      <c r="C13" s="151" t="s">
        <v>143</v>
      </c>
      <c r="D13" s="264"/>
    </row>
    <row r="14" spans="2:5" ht="13.2" x14ac:dyDescent="0.3">
      <c r="B14" s="153" t="s">
        <v>149</v>
      </c>
      <c r="C14" s="154" t="s">
        <v>154</v>
      </c>
      <c r="D14" s="265"/>
    </row>
    <row r="15" spans="2:5" ht="13.2" x14ac:dyDescent="0.3">
      <c r="B15" s="152"/>
      <c r="C15" s="139"/>
      <c r="D15" s="139"/>
    </row>
    <row r="16" spans="2:5" ht="13.2" x14ac:dyDescent="0.3">
      <c r="B16" s="155" t="s">
        <v>151</v>
      </c>
      <c r="C16" s="139"/>
      <c r="D16" s="139"/>
    </row>
    <row r="17" spans="2:5" ht="13.2" x14ac:dyDescent="0.3">
      <c r="B17" s="152" t="str" cm="1">
        <f t="array" ref="B17">IF(NoErrors, "", IF(OneError, "There is an unresolved error on the Activities sheet.", "There are unresolved errors on the Activities sheet."))</f>
        <v>There is an unresolved error on the Activities sheet.</v>
      </c>
    </row>
    <row r="19" spans="2:5" s="165" customFormat="1" ht="12" x14ac:dyDescent="0.3">
      <c r="B19" s="165" t="str" cm="1">
        <f t="array" ref="B19">_xlfn.LET(
_xlpm.M, 1/10^IF($C$11="Millions", 6, IF($C$11="Billions", 9)),
_xlpm.M_txt, IF($C$11="Millions", " ($ millions)", IF($C$11="Billions", " ($ billions)", "")),
_xlpm.L, $C$14="Columns",
_xlpm.p, _xlfn.LET(_xlpm.x, StakesIN, _xlpm.y, SUM(IF(_xlpm.x="All Groups", 1, 0)), _xlpm.z, IF(_xlpm.y=1, Groups, _xlpm.x), _xlpm.z),
_xlpm.q, _xlfn.LET(_xlpm.x, StakesOUT, _xlpm.y, SUM(IF(_xlpm.x="All Groups", 1, 0)), _xlpm.z, IF(_xlpm.y=1, Groups, _xlpm.x), _xlpm.z),
_xlpm.B, _xlfn.VSTACK("", ""),
_xlpm.s, IF($C$13="Default", 1, IF($C$13="Total Impact (↑)", 2, IF($C$13="Total Impact (↓)", 3, IF($C$13="Stakeholder Group (↑az)", 4, IF($C$13="Stakeholder Group (↓za)", 5))))),
_xlpm.hd, _xlfn.HSTACK("Stakeholder Group", YrsHdr_D),
_xlpm.hu, _xlfn.HSTACK("Stakeholder Group", YrsHdr_U),
_xlpm.id, "IN, Discounted"&amp;_xlpm.M_txt,
_xlpm.iu, "IN, Undiscounted"&amp;_xlpm.M_txt,
_xlpm.od, "OUT, Discounted"&amp;_xlpm.M_txt,
_xlpm.ou, "OUT, Undiscounted"&amp;_xlpm.M_txt,
_xlpm.nd, "NET, Discounted"&amp;_xlpm.M_txt,
_xlpm.nu, "NET, Undiscounted"&amp;_xlpm.M_txt,
_xlpm.FO_Impact,_xlfn.ANCHORARRAY( 'Full Output'!$AI$2),
_xlpm.d, --($C$9="Text"),
_xlpm.NUMTXT, _xlfn.LAMBDA(_xlpm.Value,_xlpm.Decimals,_xlpm.Text, IF(_xlpm.Text=1, DOLLAR(_xlpm.Value, _xlpm.Decimals), _xlpm.Value)),
_xlpm.IN_D,
     _xlfn.LET(_xlpm.x, _xlfn.MAKEARRAY(ROWS(_xlpm.p), Time, _xlfn.LAMBDA(_xlpm.r,_xlpm.c,
     SUMIFS(INDEX(_xlpm.FO_Impact, , StakeholderCols+MATCH(INDEX(_xlpm.p, _xlpm.r, 1), Groups, 0)), FO_InOut, "In", FO_Yrs, INDEX(Yrs, _xlpm.c,)))),
     _xlpm.y, _xlfn.BYROW(_xlpm.x, _xlfn.LAMBDA(_xlpm.a, SUM(_xlpm.a))),
     _xlpm.z, _xlfn.HSTACK(_xlpm.x, _xlpm.y, _xlpm.y*AF),
     _xlpm.e, _xlfn.HSTACK(_xlpm.p, _xlpm.z),
     _xlpm.f, IF(_xlpm.s=1, _xlpm.e, _xlfn._xlws.SORT(_xlpm.e, IF(OR(_xlpm.s=2, _xlpm.s=3), COLUMNS(_xlpm.e), 1), IF(OR(_xlpm.s=2, _xlpm.s=4), 1, -1))),
     _xlpm.g, _xlfn.HSTACK(_xlfn.TAKE(_xlpm.f,, 1), _xlpm.NUMTXT(_xlfn.DROP(_xlpm.f,, 1)*_xlpm.M, $C$10, _xlpm.d)),
     _xlpm.t, _xlfn.DROP(_xlfn.VSTACK(_xlpm.id, _xlpm.hd, _xlpm.g, _xlfn.HSTACK("Total", _xlpm.NUMTXT(_xlfn.BYCOL(_xlpm.z, _xlfn.LAMBDA(_xlpm.b, SUM(_xlpm.b)))*_xlpm.M, $C$10, _xlpm.d)), ""), IF(_xlpm.L, 0, 1)),
     IF(_xlpm.L, _xlpm.t, _xlfn.VSTACK(_xlpm.id, _xlfn.HSTACK("Year", TRANSPOSE(INDEX(_xlpm.f,, 1)), "Total"), _xlfn.DROP(TRANSPOSE(_xlpm.t), 1), ""))),
_xlpm.IN_U,
     _xlfn.LET(_xlpm.x, _xlfn.MAKEARRAY(ROWS(_xlpm.p), Time, _xlfn.LAMBDA(_xlpm.r,_xlpm.c,
     SUMIFS(INDEX(_xlpm.FO_Impact, , MATCH(INDEX(_xlpm.p, _xlpm.r, 1), Groups, 0)), FO_InOut, "In", FO_Yrs, INDEX(Yrs, _xlpm.c,)))),
     _xlpm.y, _xlfn.BYROW(_xlpm.x, _xlfn.LAMBDA(_xlpm.a, SUM(_xlpm.a))),
     _xlpm.z, _xlfn.HSTACK(_xlpm.x, _xlpm.y),
     _xlpm.e, _xlfn.HSTACK(_xlpm.p, _xlpm.z),
     _xlpm.f, IF(_xlpm.s=1, _xlpm.e, _xlfn._xlws.SORT(_xlpm.e, IF(OR(_xlpm.s=2, _xlpm.s=3), COLUMNS(_xlpm.e), 1), IF(OR(_xlpm.s=2, _xlpm.s=4), 1, -1))),
     _xlpm.g, _xlfn.HSTACK(_xlfn.TAKE(_xlpm.f,, 1), _xlpm.NUMTXT(_xlfn.DROP(_xlpm.f,, 1)*_xlpm.M, $C$10, _xlpm.d)),
     _xlpm.t, _xlfn.DROP(_xlfn.VSTACK(_xlpm.iu, _xlpm.hu, _xlpm.g, _xlfn.HSTACK("Total", _xlpm.NUMTXT(_xlfn.BYCOL(_xlpm.z, _xlfn.LAMBDA(_xlpm.b, SUM(_xlpm.b)))*_xlpm.M, $C$10, _xlpm.d)), ""), IF(_xlpm.L, 0, 1)),
     IF(_xlpm.L, _xlpm.t, _xlfn.VSTACK(_xlpm.iu, _xlfn.HSTACK("Year", TRANSPOSE(INDEX(_xlpm.f,, 1)), "Total"), _xlfn.DROP(TRANSPOSE(_xlpm.t), 1), ""))),
_xlpm.OUT_D,
     _xlfn.LET(_xlpm.x, _xlfn.MAKEARRAY(ROWS(_xlpm.q), Time, _xlfn.LAMBDA(_xlpm.r,_xlpm.c,
     SUMIFS(INDEX(_xlpm.FO_Impact, ,StakeholderCols+MATCH(INDEX(_xlpm.q, _xlpm.r, 1), Groups, 0)), FO_InOut, "Out", FO_Yrs, INDEX(Yrs, _xlpm.c,)))),
     _xlpm.y, _xlfn.BYROW(_xlpm.x, _xlfn.LAMBDA(_xlpm.a, SUM(_xlpm.a))),
     _xlpm.z, -_xlfn.HSTACK(_xlpm.x, _xlpm.y, _xlpm.y*AF),
     _xlpm.e, _xlfn.HSTACK(_xlpm.q, _xlpm.z),
     _xlpm.f, IF(_xlpm.s=1, _xlpm.e, _xlfn._xlws.SORT(_xlpm.e, IF(OR(_xlpm.s=2, _xlpm.s=3), COLUMNS(_xlpm.e), 1), IF(OR(_xlpm.s=2, _xlpm.s=4), 1, -1))),
     _xlpm.g, _xlfn.HSTACK(_xlfn.TAKE(_xlpm.f,, 1), _xlpm.NUMTXT(_xlfn.DROP(_xlpm.f,, 1)*_xlpm.M, $C$10, _xlpm.d)),
     _xlpm.t, _xlfn.DROP(_xlfn.VSTACK(_xlpm.od, _xlpm.hd, _xlpm.g, _xlfn.HSTACK("Total", _xlpm.NUMTXT(_xlfn.BYCOL(_xlpm.z, _xlfn.LAMBDA(_xlpm.b, SUM(_xlpm.b)))*_xlpm.M, $C$10, _xlpm.d)), ""), IF(_xlpm.L, 0, 1)),
     IF(_xlpm.L, _xlpm.t, _xlfn.VSTACK(_xlpm.od, _xlfn.HSTACK("Year", TRANSPOSE(INDEX(_xlpm.f,, 1)), "Total"), _xlfn.DROP(TRANSPOSE(_xlpm.t), 1), ""))),
_xlpm.OUT_U,
     _xlfn.LET(_xlpm.x, _xlfn.MAKEARRAY(ROWS(_xlpm.q), Time, _xlfn.LAMBDA(_xlpm.r,_xlpm.c,
     SUMIFS(INDEX(_xlpm.FO_Impact, , MATCH(INDEX(_xlpm.q, _xlpm.r, 1), Groups, 0)), FO_InOut, "Out", FO_Yrs, INDEX(Yrs, _xlpm.c,)))),
     _xlpm.y, _xlfn.BYROW(_xlpm.x, _xlfn.LAMBDA(_xlpm.a, SUM(_xlpm.a))),
     _xlpm.z, -_xlfn.HSTACK(_xlpm.x, _xlpm.y),
     _xlpm.e, _xlfn.HSTACK(_xlpm.q, _xlpm.z),
     _xlpm.f, IF(_xlpm.s=1, _xlpm.e, _xlfn._xlws.SORT(_xlpm.e, IF(OR(_xlpm.s=2, _xlpm.s=3), COLUMNS(_xlpm.e), 1), IF(OR(_xlpm.s=2, _xlpm.s=4), 1, -1))),
     _xlpm.g, _xlfn.HSTACK(_xlfn.TAKE(_xlpm.f,, 1), _xlpm.NUMTXT(_xlfn.DROP(_xlpm.f,, 1)*_xlpm.M, $C$10, _xlpm.d)),
     _xlpm.t, _xlfn.DROP(_xlfn.VSTACK(_xlpm.ou, _xlpm.hu, _xlpm.g, _xlfn.HSTACK("Total", _xlpm.NUMTXT(_xlfn.BYCOL(_xlpm.z, _xlfn.LAMBDA(_xlpm.b, SUM(_xlpm.b)))*_xlpm.M, $C$10, _xlpm.d)), ""), IF(_xlpm.L, 0, 1)),
     IF(_xlpm.L, _xlpm.t, _xlfn.VSTACK(_xlpm.ou, _xlfn.HSTACK("Year", TRANSPOSE(INDEX(_xlpm.f,, 1)), "Total"), _xlfn.DROP(TRANSPOSE(_xlpm.t), 1), ""))),
_xlpm.NET_D,
     _xlfn.LET(_xlpm.x, _xlfn.MAKEARRAY(StakeholderCols, Time, _xlfn.LAMBDA(_xlpm.r,_xlpm.c,
     SUMIFS(INDEX(_xlpm.FO_Impact, ,_xlpm.r+StakeholderCols), FO_Yrs, INDEX(Yrs, _xlpm.c,)))),
     _xlpm.y, _xlfn.BYROW(_xlpm.x, _xlfn.LAMBDA(_xlpm.a, SUM(_xlpm.a))),
     _xlpm.z, -_xlfn.HSTACK(_xlpm.x, _xlpm.y, _xlpm.y*AF),
     _xlpm.e, _xlfn.HSTACK(Groups, _xlpm.z),
     _xlpm.f, IF(_xlpm.s=1, _xlpm.e, _xlfn._xlws.SORT(_xlpm.e, IF(OR(_xlpm.s=2, _xlpm.s=3), COLUMNS(_xlpm.e), 1), IF(OR(_xlpm.s=2, _xlpm.s=4), 1, -1))),
     _xlpm.g, _xlfn.HSTACK(_xlfn.TAKE(_xlpm.f,, 1), _xlpm.NUMTXT(_xlfn.DROP(_xlpm.f,, 1)*_xlpm.M, $C$10, _xlpm.d)),
     _xlpm.t, _xlfn.DROP(_xlfn.VSTACK(_xlpm.nd, _xlpm.hd, _xlpm.g, _xlfn.HSTACK("Total", _xlpm.NUMTXT(_xlfn.BYCOL(_xlpm.z, _xlfn.LAMBDA(_xlpm.b, SUM(_xlpm.b)))*_xlpm.M, $C$10, _xlpm.d)), ""), IF(_xlpm.L, 0, 1)),
     IF(_xlpm.L, _xlpm.t, _xlfn.VSTACK(_xlpm.nd, _xlfn.HSTACK("Year", TRANSPOSE(INDEX(_xlpm.f,, 1)), "Total"), _xlfn.DROP(TRANSPOSE(_xlpm.t), 1), ""))),
_xlpm.NET_U,
     _xlfn.LET(_xlpm.x, _xlfn.MAKEARRAY(StakeholderCols, Time, _xlfn.LAMBDA(_xlpm.r,_xlpm.c,
     SUMIFS(INDEX(_xlpm.FO_Impact, ,_xlpm.r), FO_Yrs, INDEX(Yrs, _xlpm.c,)))),
     _xlpm.y, _xlfn.BYROW(_xlpm.x, _xlfn.LAMBDA(_xlpm.a, SUM(_xlpm.a))),
     _xlpm.z, -_xlfn.HSTACK(_xlpm.x, _xlpm.y),
     _xlpm.e, _xlfn.HSTACK(Groups, _xlpm.z),
     _xlpm.f, IF(_xlpm.s=1, _xlpm.e, _xlfn._xlws.SORT(_xlpm.e, IF(OR(_xlpm.s=2, _xlpm.s=3), COLUMNS(_xlpm.e), 1), IF(OR(_xlpm.s=2, _xlpm.s=4), 1, -1))),
     _xlpm.g, _xlfn.HSTACK(_xlfn.TAKE(_xlpm.f,, 1), _xlpm.NUMTXT(_xlfn.DROP(_xlpm.f,, 1)*_xlpm.M, $C$10, _xlpm.d)),
     _xlpm.t, _xlfn.DROP(_xlfn.VSTACK(_xlpm.nu, _xlpm.hu, _xlpm.g, _xlfn.HSTACK("Total", _xlpm.NUMTXT(_xlfn.BYCOL(_xlpm.z, _xlfn.LAMBDA(_xlpm.b, SUM(_xlpm.b)))*_xlpm.M, $C$10, _xlpm.d)), ""), IF(_xlpm.L, 0, 1)),
     IF(_xlpm.L, _xlpm.t, _xlfn.VSTACK(_xlpm.nu, _xlfn.HSTACK("Year", TRANSPOSE(INDEX(_xlpm.f,, 1)), "Total"), _xlfn.DROP(TRANSPOSE(_xlpm.t), 1), ""))),
_xlpm.o_1, IF(NoIn, _xlpm.OUT_D, _xlpm.IN_D),
_xlpm.o_2, IF(NoIn, _xlpm.OUT_U, _xlpm.IN_U),
_xlpm.o_3, IF(OneType, _xlpm.NET_D, _xlpm.OUT_D),
_xlpm.o_4, IF(OneType, _xlpm.NET_U, _xlpm.OUT_U),
_xlpm.o_5, IF(OneType, "", _xlpm.NET_D),
_xlpm.o_6, IF(OneType, "", _xlpm.NET_U),
_xlpm.g, IFERROR(IF($C$12="Discounting", _xlfn.VSTACK(_xlpm.o_1, _xlpm.o_3, _xlpm.o_5, _xlfn.DROP(_xlpm.B, IF(OneType, 1, 0)), _xlpm.o_2, _xlpm.o_4, _xlpm.o_6), _xlfn.VSTACK(_xlpm.o_1, _xlpm.o_2, _xlpm.B, _xlpm.o_3, _xlpm.o_4, _xlpm.B, _xlpm.o_5, _xlpm.o_6)), ""),
_xlpm.g)</f>
        <v/>
      </c>
    </row>
    <row r="20" spans="2:5" ht="12" x14ac:dyDescent="0.3">
      <c r="E20" s="159"/>
    </row>
  </sheetData>
  <mergeCells count="2">
    <mergeCell ref="D6:D8"/>
    <mergeCell ref="D9:D14"/>
  </mergeCells>
  <conditionalFormatting sqref="B17">
    <cfRule type="notContainsBlanks" dxfId="23" priority="1">
      <formula>LEN(TRIM(B17))&gt;0</formula>
    </cfRule>
  </conditionalFormatting>
  <conditionalFormatting sqref="B19:CZ502">
    <cfRule type="expression" dxfId="22" priority="3">
      <formula>$B19="Year"</formula>
    </cfRule>
    <cfRule type="expression" dxfId="21" priority="5">
      <formula>$B19="Annualized"</formula>
    </cfRule>
    <cfRule type="containsText" dxfId="20" priority="6" operator="containsText" text="Discounted">
      <formula>NOT(ISERROR(SEARCH("Discounted",B19)))</formula>
    </cfRule>
    <cfRule type="expression" dxfId="19" priority="8">
      <formula>$B19="Total"</formula>
    </cfRule>
    <cfRule type="expression" dxfId="18" priority="9">
      <formula>$B19="Stakeholder Group"</formula>
    </cfRule>
    <cfRule type="notContainsBlanks" dxfId="17" priority="10">
      <formula>LEN(TRIM(B19))&gt;0</formula>
    </cfRule>
  </conditionalFormatting>
  <dataValidations xWindow="515" yWindow="356" count="7">
    <dataValidation type="list" allowBlank="1" showInputMessage="1" showErrorMessage="1" sqref="C10" xr:uid="{77A1A692-4830-4241-9955-C37685488C40}">
      <formula1>"0, 1, 2, 3, 4"</formula1>
    </dataValidation>
    <dataValidation type="list" allowBlank="1" showInputMessage="1" showErrorMessage="1" sqref="C11" xr:uid="{2D1CF8B9-B73A-4BCA-85EC-CB482BEA9845}">
      <formula1>"Single, Millions, Billions"</formula1>
    </dataValidation>
    <dataValidation type="list" allowBlank="1" showInputMessage="1" showErrorMessage="1" sqref="C12" xr:uid="{1060E1D7-DF1F-4176-A631-AC645D2CD19D}">
      <formula1>"Discounting, IN | OUT | NET"</formula1>
    </dataValidation>
    <dataValidation type="list" allowBlank="1" showInputMessage="1" showErrorMessage="1" sqref="C14" xr:uid="{BB34237B-AF63-4A49-A9D9-54A41C374CE0}">
      <formula1>"Columns, Rows"</formula1>
    </dataValidation>
    <dataValidation type="list" allowBlank="1" showInputMessage="1" showErrorMessage="1" prompt="Default lists stakeholder groups by the order in which they appear on the Stakeholder Profile sheet. " sqref="C13" xr:uid="{4B3DE7DE-FD2B-455B-861B-4ACC82378DC9}">
      <formula1>"Default, Total Impact (↑), Total Impact (↓), Stakeholder Group (↑az), Stakeholder Group (↓za)"</formula1>
    </dataValidation>
    <dataValidation type="list" allowBlank="1" showInputMessage="1" showErrorMessage="1" prompt="Text: for copy-pasting into Word. _x000a__x000a_Numbers: for additional manipulations in Excel." sqref="C9:C10" xr:uid="{C9604749-31C7-4CCA-8BB0-3D3AF1C895DF}">
      <formula1>"Text, Numbers"</formula1>
    </dataValidation>
    <dataValidation type="list" allowBlank="1" showInputMessage="1" showErrorMessage="1" prompt="Text: for copy-pasting into Word. _x000a__x000a_Numbers: for additional manipulations in Excel." sqref="C9:C10" xr:uid="{75D11548-3DA1-485E-BC87-A20FA587469E}">
      <formula1>"Text, Number"</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5A5963-3A87-4661-8B0C-513E9051B928}">
  <sheetPr codeName="Sheet16">
    <tabColor rgb="FFFFFF00"/>
  </sheetPr>
  <dimension ref="B2:E19"/>
  <sheetViews>
    <sheetView showGridLines="0" zoomScaleNormal="100" workbookViewId="0">
      <selection activeCell="B19" sqref="B19"/>
    </sheetView>
  </sheetViews>
  <sheetFormatPr defaultColWidth="9.109375" defaultRowHeight="11.4" x14ac:dyDescent="0.3"/>
  <cols>
    <col min="1" max="1" width="9.109375" style="135"/>
    <col min="2" max="2" width="43.5546875" style="164" customWidth="1"/>
    <col min="3" max="3" width="40.5546875" style="135" customWidth="1"/>
    <col min="4" max="4" width="20.6640625" style="135" customWidth="1"/>
    <col min="5" max="15" width="14.109375" style="135" customWidth="1"/>
    <col min="16" max="16384" width="9.109375" style="135"/>
  </cols>
  <sheetData>
    <row r="2" spans="2:5" ht="15.6" x14ac:dyDescent="0.3">
      <c r="B2" s="161" t="s">
        <v>156</v>
      </c>
      <c r="C2" s="139"/>
      <c r="D2" s="139"/>
    </row>
    <row r="3" spans="2:5" ht="13.2" x14ac:dyDescent="0.3">
      <c r="B3" s="162"/>
      <c r="C3" s="139"/>
      <c r="D3" s="139"/>
    </row>
    <row r="4" spans="2:5" ht="13.2" x14ac:dyDescent="0.3">
      <c r="B4" s="162"/>
      <c r="C4" s="139"/>
      <c r="D4" s="139"/>
    </row>
    <row r="5" spans="2:5" ht="13.2" x14ac:dyDescent="0.3">
      <c r="B5" s="163" t="s">
        <v>131</v>
      </c>
      <c r="C5" s="143" t="s">
        <v>132</v>
      </c>
      <c r="D5" s="214" t="s">
        <v>133</v>
      </c>
    </row>
    <row r="6" spans="2:5" ht="13.2" x14ac:dyDescent="0.3">
      <c r="B6" s="144" t="s">
        <v>111</v>
      </c>
      <c r="C6" s="145">
        <f>PriceYear</f>
        <v>2024</v>
      </c>
      <c r="D6" s="261" t="s">
        <v>135</v>
      </c>
    </row>
    <row r="7" spans="2:5" ht="13.2" x14ac:dyDescent="0.3">
      <c r="B7" s="146" t="s">
        <v>112</v>
      </c>
      <c r="C7" s="239">
        <f>Discount</f>
        <v>7.0000000000000007E-2</v>
      </c>
      <c r="D7" s="262"/>
    </row>
    <row r="8" spans="2:5" ht="13.2" x14ac:dyDescent="0.3">
      <c r="B8" s="146" t="s">
        <v>145</v>
      </c>
      <c r="C8" s="147">
        <f>PVBaseYear</f>
        <v>2025</v>
      </c>
      <c r="D8" s="262"/>
    </row>
    <row r="9" spans="2:5" ht="15" customHeight="1" x14ac:dyDescent="0.3">
      <c r="B9" s="148" t="s">
        <v>136</v>
      </c>
      <c r="C9" s="149" t="s">
        <v>137</v>
      </c>
      <c r="D9" s="263" t="s">
        <v>146</v>
      </c>
    </row>
    <row r="10" spans="2:5" ht="13.2" x14ac:dyDescent="0.3">
      <c r="B10" s="150" t="s">
        <v>139</v>
      </c>
      <c r="C10" s="151">
        <v>0</v>
      </c>
      <c r="D10" s="264"/>
      <c r="E10" s="164"/>
    </row>
    <row r="11" spans="2:5" ht="13.2" x14ac:dyDescent="0.3">
      <c r="B11" s="150" t="s">
        <v>140</v>
      </c>
      <c r="C11" s="151" t="s">
        <v>141</v>
      </c>
      <c r="D11" s="264"/>
    </row>
    <row r="12" spans="2:5" ht="13.2" x14ac:dyDescent="0.3">
      <c r="B12" s="150" t="s">
        <v>147</v>
      </c>
      <c r="C12" s="151" t="s">
        <v>148</v>
      </c>
      <c r="D12" s="264"/>
    </row>
    <row r="13" spans="2:5" ht="13.2" x14ac:dyDescent="0.3">
      <c r="B13" s="150" t="s">
        <v>142</v>
      </c>
      <c r="C13" s="151" t="s">
        <v>143</v>
      </c>
      <c r="D13" s="264"/>
    </row>
    <row r="14" spans="2:5" ht="13.2" x14ac:dyDescent="0.3">
      <c r="B14" s="153" t="s">
        <v>149</v>
      </c>
      <c r="C14" s="154" t="s">
        <v>154</v>
      </c>
      <c r="D14" s="265"/>
    </row>
    <row r="15" spans="2:5" ht="13.2" x14ac:dyDescent="0.3">
      <c r="B15" s="152"/>
      <c r="C15" s="139"/>
      <c r="D15" s="139"/>
    </row>
    <row r="16" spans="2:5" ht="13.2" x14ac:dyDescent="0.3">
      <c r="B16" s="155" t="s">
        <v>151</v>
      </c>
      <c r="C16" s="139"/>
      <c r="D16" s="139"/>
    </row>
    <row r="17" spans="2:2" ht="13.2" x14ac:dyDescent="0.3">
      <c r="B17" s="152" t="str" cm="1">
        <f t="array" ref="B17">IF(NoErrors, "", IF(OneError, "There is an unresolved error on the Activities sheet.", "There are unresolved errors on the Activities sheet."))</f>
        <v>There is an unresolved error on the Activities sheet.</v>
      </c>
    </row>
    <row r="19" spans="2:2" x14ac:dyDescent="0.3">
      <c r="B19" s="164" t="str" cm="1">
        <f t="array" ref="B19">_xlfn.LET(
_xlpm.M, 1/10^IF($C$11="Millions", 6, IF($C$11="Billions", 9)),
_xlpm.M_txt, IF($C$11="Millions", " ($ millions)", IF($C$11="Billions", " ($ billions)", "")),
_xlpm.L, $C$14="Columns",
_xlpm.Sep, ", ",
_xlpm.B, _xlfn.VSTACK("", ""),
_xlpm.T_3, Time+3,
_xlpm.TT, {"Total","Total"},
_xlpm.id, "IN, Discounted"&amp;_xlpm.M_txt,
_xlpm.iu, "IN, Undiscounted"&amp;_xlpm.M_txt,
_xlpm.od, "OUT, Discounted"&amp;_xlpm.M_txt,
_xlpm.ou, "OUT, Undiscounted"&amp;_xlpm.M_txt,
_xlpm.nd, "NET, Discounted"&amp;_xlpm.M_txt,
_xlpm.nu, "NET, Undiscounted"&amp;_xlpm.M_txt,
_xlpm.FO_Impact,_xlfn.ANCHORARRAY( 'Full Output'!$AI$2),
_xlpm.hd, _xlfn.HSTACK("Stakeholder Group", "Activity", YrsHdr_D),
_xlpm.hu, _xlfn.HSTACK("Stakeholder Group", "Activity", YrsHdr_U),
_xlpm.s, IF($C$13="Default", 1, IF($C$13="Total Impact (↑)", 2, IF($C$13="Total Impact (↓)", 3, IF($C$13="Stakeholder Group (↑az)", 4, IF($C$13="Stakeholder Group (↓za)", 5, IF($C$13="Activity (↑az)", 6, IF($C$13="Activity (↓za)", 7))))))),
_xlpm.d, --($C$9="Text"),
_xlpm.NUMTXT, _xlfn.LAMBDA(_xlpm.x,_xlpm.y,_xlpm.z, IF(_xlpm.z=1, DOLLAR(_xlpm.x, _xlpm.y), _xlpm.x)),
_xlpm.IN_D,
     _xlfn.LET(_xlpm.x, _xlfn.MAKEARRAY(ROWS(IN_AS), Time, _xlfn.LAMBDA(_xlpm.r,_xlpm.c,
     SUMIFS(INDEX(_xlpm.FO_Impact,, NGroups+MATCH(INDEX(IN_AS, _xlpm.r, 1), Groups, 0)), FO_InOut, "In", FO_Act, INDEX(IN_AS, _xlpm.r, 2), FO_Yrs, INDEX(Yrs, _xlpm.c,)))),
     _xlpm.y, _xlfn.BYROW(_xlpm.x, _xlfn.LAMBDA(_xlpm.a, SUM(_xlpm.a))),
     _xlpm.z, _xlfn.HSTACK(_xlpm.x, _xlpm.y, _xlpm.y*AF),
     _xlpm.e, _xlfn.HSTACK(IN_AS, _xlpm.z),
     _xlpm.f, IF(_xlpm.s=1, _xlpm.e, _xlfn._xlws.SORT(_xlpm.e, IF(_xlpm.s&lt;4, _xlpm.T_3, IF(_xlpm.s&lt;6, 1, 2)), IF(ISEVEN(_xlpm.s), 1, -1))),
     _xlpm.g, _xlfn.HSTACK(_xlfn.TAKE(_xlpm.f,, 2), _xlpm.NUMTXT(_xlfn.DROP(_xlpm.f,, 2)*_xlpm.M, $C$10, _xlpm.d)),
     _xlpm.t, _xlfn.DROP(_xlfn.VSTACK(_xlpm.id, _xlpm.hd, _xlpm.g, _xlfn.HSTACK(_xlpm.TT, _xlpm.NUMTXT(_xlfn.BYCOL(_xlpm.z, _xlfn.LAMBDA(_xlpm.b, SUM(_xlpm.b)))*_xlpm.M, $C$10, _xlpm.d)), ""), IF(_xlpm.L, 0, 1)),
     IF(_xlpm.L, _xlpm.t, _xlfn.VSTACK(_xlpm.id, _xlfn.HSTACK("Year", TRANSPOSE(INDEX(_xlpm.f,, 1)&amp; _xlpm.Sep &amp;INDEX(_xlpm.f,, 2)), "Total"), _xlfn.DROP(TRANSPOSE(_xlpm.t), 2), ""))),
_xlpm.IN_U,
     _xlfn.LET(_xlpm.x, _xlfn.MAKEARRAY(ROWS(IN_AS), Time, _xlfn.LAMBDA(_xlpm.r,_xlpm.c,
     SUMIFS(INDEX(_xlpm.FO_Impact,, MATCH(INDEX(IN_AS, _xlpm.r, 1), Groups, 0)), FO_InOut, "In", FO_Act, INDEX(IN_AS, _xlpm.r, 2), FO_Yrs, INDEX(Yrs, _xlpm.c,)))),
     _xlpm.y, _xlfn.BYROW(_xlpm.x, _xlfn.LAMBDA(_xlpm.a, SUM(_xlpm.a))),
     _xlpm.z, _xlfn.HSTACK(_xlpm.x, _xlpm.y),
     _xlpm.e, _xlfn.HSTACK(IN_AS, _xlpm.z),
     _xlpm.f, IF(_xlpm.s=1, _xlpm.e, _xlfn._xlws.SORT(_xlpm.e, IF(_xlpm.s&lt;4, _xlpm.T_3, IF(_xlpm.s&lt;6, 1, 2)), IF(ISEVEN(_xlpm.s), 1, -1))),
     _xlpm.g, _xlfn.HSTACK(_xlfn.TAKE(_xlpm.f,, 2), _xlpm.NUMTXT(_xlfn.DROP(_xlpm.f,, 2)*_xlpm.M, $C$10, _xlpm.d)),
     _xlpm.t, _xlfn.DROP(_xlfn.VSTACK(_xlpm.iu, _xlpm.hu, _xlpm.g, _xlfn.HSTACK(_xlpm.TT, _xlpm.NUMTXT(_xlfn.BYCOL(_xlpm.z, _xlfn.LAMBDA(_xlpm.b, SUM(_xlpm.b)))*_xlpm.M, $C$10, _xlpm.d)), ""), IF(_xlpm.L, 0, 1)),
     IF(_xlpm.L, _xlpm.t, _xlfn.VSTACK(_xlpm.iu, _xlfn.HSTACK("Year", TRANSPOSE(INDEX(_xlpm.f,, 1)&amp; _xlpm.Sep &amp;INDEX(_xlpm.f,, 2)), "Total"), _xlfn.DROP(TRANSPOSE(_xlpm.t), 2), ""))),
_xlpm.OUT_D,
     _xlfn.LET(_xlpm.x, _xlfn.MAKEARRAY(ROWS(OUT_AS), Time, _xlfn.LAMBDA(_xlpm.r,_xlpm.c,
     SUMIFS(INDEX(_xlpm.FO_Impact,, NGroups+MATCH(INDEX(OUT_AS, _xlpm.r, 1), Groups, 0)), FO_InOut, "Out", FO_Act, INDEX(OUT_AS, _xlpm.r, 2), FO_Yrs, INDEX(Yrs, _xlpm.c,)))),
     _xlpm.y, _xlfn.BYROW(_xlpm.x, _xlfn.LAMBDA(_xlpm.a, SUM(_xlpm.a))),
     _xlpm.z, -_xlfn.HSTACK(_xlpm.x, _xlpm.y, _xlpm.y*AF),
     _xlpm.e, _xlfn.HSTACK(OUT_AS, _xlpm.z),
     _xlpm.f, IF(_xlpm.s=1, _xlpm.e, _xlfn._xlws.SORT(_xlpm.e, IF(_xlpm.s&lt;4, _xlpm.T_3, IF(_xlpm.s&lt;6, 1, 2)), IF(ISEVEN(_xlpm.s), 1, -1))),
     _xlpm.g, _xlfn.HSTACK(_xlfn.TAKE(_xlpm.f,, 2), _xlpm.NUMTXT(_xlfn.DROP(_xlpm.f,, 2)*_xlpm.M, $C$10, _xlpm.d)),
     _xlpm.t, _xlfn.DROP(_xlfn.VSTACK(_xlpm.od, _xlpm.hd, _xlpm.g, _xlfn.HSTACK(_xlpm.TT, _xlpm.NUMTXT(_xlfn.BYCOL(_xlpm.z, _xlfn.LAMBDA(_xlpm.b, SUM(_xlpm.b)))*_xlpm.M, $C$10, _xlpm.d)), ""), IF(_xlpm.L, 0, 1)),
     IF(_xlpm.L, _xlpm.t,_xlfn.VSTACK(_xlpm.od, _xlfn.HSTACK("Year", TRANSPOSE(INDEX(_xlpm.f,, 1)&amp; _xlpm.Sep &amp;INDEX(_xlpm.f,, 2)), "Total"), _xlfn.DROP(TRANSPOSE(_xlpm.t), 2), ""))),
_xlpm.OUT_U,
     _xlfn.LET(_xlpm.x, _xlfn.MAKEARRAY(ROWS(OUT_AS), Time, _xlfn.LAMBDA(_xlpm.r,_xlpm.c,
     SUMIFS(INDEX(_xlpm.FO_Impact,, MATCH(INDEX(OUT_AS, _xlpm.r, 1), Groups, 0)), FO_InOut, "Out", FO_Act, INDEX(OUT_AS, _xlpm.r, 2), FO_Yrs, INDEX(Yrs, _xlpm.c,)))),
     _xlpm.y, _xlfn.BYROW(_xlpm.x, _xlfn.LAMBDA(_xlpm.a, SUM(_xlpm.a))),
     _xlpm.z, -_xlfn.HSTACK(_xlpm.x, _xlpm.y),
     _xlpm.e, _xlfn.HSTACK(OUT_AS, _xlpm.z),
     _xlpm.f, IF(_xlpm.s=1, _xlpm.e, _xlfn._xlws.SORT(_xlpm.e, IF(_xlpm.s&lt;4, _xlpm.T_3, IF(_xlpm.s&lt;6, 1, 2)), IF(ISEVEN(_xlpm.s), 1, -1))),
     _xlpm.g, _xlfn.HSTACK(_xlfn.TAKE(_xlpm.f,, 2), _xlpm.NUMTXT(_xlfn.DROP(_xlpm.f,, 2)*_xlpm.M, $C$10, _xlpm.d)),
     _xlpm.t, _xlfn.DROP(_xlfn.VSTACK(_xlpm.ou, _xlpm.hu, _xlpm.g, _xlfn.HSTACK(_xlpm.TT, _xlpm.NUMTXT(_xlfn.BYCOL(_xlpm.z, _xlfn.LAMBDA(_xlpm.b, SUM(_xlpm.b)))*_xlpm.M, $C$10, _xlpm.d)), ""), IF(_xlpm.L, 0, 1)),
     IF(_xlpm.L, _xlpm.t, _xlfn.VSTACK(_xlpm.ou, _xlfn.HSTACK("Year", TRANSPOSE(INDEX(_xlpm.f,, 1)&amp; _xlpm.Sep &amp;INDEX(_xlpm.f,, 2)), "Total"), _xlfn.DROP(TRANSPOSE(_xlpm.t), 2), ""))),
_xlpm.NET_D,
     _xlfn.LET(_xlpm.x, _xlfn.MAKEARRAY(ROWS(NET_AS), Time, _xlfn.LAMBDA(_xlpm.r,_xlpm.c,
     SUMIFS(INDEX(_xlpm.FO_Impact,, NGroups+MATCH(INDEX(NET_AS, _xlpm.r, 1), Groups, 0)), FO_Act, INDEX(NET_AS, _xlpm.r, 2), FO_Yrs, INDEX(Yrs, _xlpm.c,)))),
     _xlpm.y, _xlfn.BYROW(_xlpm.x, _xlfn.LAMBDA(_xlpm.a, SUM(_xlpm.a))),
     _xlpm.z, -_xlfn.HSTACK(_xlpm.x, _xlpm.y, _xlpm.y*AF),
     _xlpm.e, _xlfn.HSTACK(NET_AS, _xlpm.z),
     _xlpm.f, IF(_xlpm.s=1, _xlpm.e, _xlfn._xlws.SORT(_xlpm.e, IF(_xlpm.s&lt;4, _xlpm.T_3, IF(_xlpm.s&lt;6, 1, 2)), IF(ISEVEN(_xlpm.s), 1, -1))),
     _xlpm.g, _xlfn.HSTACK(_xlfn.TAKE(_xlpm.f,, 2), _xlpm.NUMTXT(_xlfn.DROP(_xlpm.f,, 2)*_xlpm.M, $C$10, _xlpm.d)),
     _xlpm.t, _xlfn.DROP(_xlfn.VSTACK(_xlpm.nd, _xlpm.hd, _xlpm.g, _xlfn.HSTACK(_xlpm.TT, _xlpm.NUMTXT(_xlfn.BYCOL(_xlpm.z, _xlfn.LAMBDA(_xlpm.b, SUM(_xlpm.b)))*_xlpm.M, $C$10, _xlpm.d)), ""), IF(_xlpm.L, 0, 1)),
     IF(_xlpm.L, _xlpm.t, _xlfn.VSTACK(_xlpm.nd, _xlfn.HSTACK("Year", TRANSPOSE(INDEX(_xlpm.f,, 1)&amp; _xlpm.Sep &amp;INDEX(_xlpm.f,, 2)), "Total"), _xlfn.DROP(TRANSPOSE(_xlpm.t), 2), ""))),
_xlpm.NET_U,
     _xlfn.LET(_xlpm.x, _xlfn.MAKEARRAY(ROWS(NET_AS), Time, _xlfn.LAMBDA(_xlpm.r,_xlpm.c,
     SUMIFS(INDEX(_xlpm.FO_Impact,, MATCH(INDEX(NET_AS, _xlpm.r, 1), Groups, 0)), FO_Act, INDEX(NET_AS, _xlpm.r, 2), FO_Yrs, INDEX(Yrs, _xlpm.c,)))),
     _xlpm.y, _xlfn.BYROW(_xlpm.x, _xlfn.LAMBDA(_xlpm.a, SUM(_xlpm.a))),
     _xlpm.z, -_xlfn.HSTACK(_xlpm.x, _xlpm.y),
     _xlpm.e, _xlfn.HSTACK(NET_AS, _xlpm.z),
     _xlpm.f, IF(_xlpm.s=1, _xlpm.e, _xlfn._xlws.SORT(_xlpm.e, IF(_xlpm.s&lt;4, _xlpm.T_3, IF(_xlpm.s&lt;6, 1, 2)), IF(ISEVEN(_xlpm.s), 1, -1))),
     _xlpm.g, _xlfn.HSTACK(_xlfn.TAKE(_xlpm.f,, 2), _xlpm.NUMTXT(_xlfn.DROP(_xlpm.f,, 2)*_xlpm.M, $C$10, _xlpm.d)),
     _xlpm.t, _xlfn.DROP(_xlfn.VSTACK(_xlpm.nu, _xlpm.hu, _xlpm.g, _xlfn.HSTACK(_xlpm.TT, _xlpm.NUMTXT(_xlfn.BYCOL(_xlpm.z, _xlfn.LAMBDA(_xlpm.b, SUM(_xlpm.b)))*_xlpm.M, $C$10, _xlpm.d)), ""), IF(_xlpm.L, 0, 1)),
     IF(_xlpm.L, _xlpm.t, _xlfn.VSTACK(_xlpm.nu, _xlfn.HSTACK("Year", TRANSPOSE(INDEX(_xlpm.f,, 1)&amp; _xlpm.Sep &amp;INDEX(_xlpm.f,, 2)), "Total"), _xlfn.DROP(TRANSPOSE(_xlpm.t), 2), ""))),
_xlpm.o_1, IF(NoIn, _xlpm.OUT_D, _xlpm.IN_D),_xlpm.o_2, IF(NoIn, _xlpm.OUT_U, _xlpm.IN_U),_xlpm.o_3, IF(OneType, _xlpm.NET_D, _xlpm.OUT_D),_xlpm.o_4, IF(OneType, _xlpm.NET_U, _xlpm.OUT_U),_xlpm.o_5, IF(OneType, "", _xlpm.NET_D),_xlpm.o_6, IF(OneType, "", _xlpm.NET_U),
_xlpm.g, IFERROR(IF($C$12="Discounting", _xlfn.VSTACK(_xlpm.o_1, _xlpm.o_3, _xlpm.o_5, _xlfn.DROP(_xlpm.B, IF(OneType, 1, 0)), _xlpm.o_2, _xlpm.o_4, _xlpm.o_6), _xlfn.VSTACK(_xlpm.o_1, _xlpm.o_2, _xlpm.B, _xlpm.o_3, _xlpm.o_4, _xlpm.B, _xlpm.o_5, _xlpm.o_6)), ""),_xlpm.g)</f>
        <v/>
      </c>
    </row>
  </sheetData>
  <mergeCells count="2">
    <mergeCell ref="D6:D8"/>
    <mergeCell ref="D9:D14"/>
  </mergeCells>
  <conditionalFormatting sqref="B17">
    <cfRule type="notContainsBlanks" dxfId="16" priority="1">
      <formula>LEN(TRIM(B17))&gt;0</formula>
    </cfRule>
  </conditionalFormatting>
  <conditionalFormatting sqref="B19:CZ502">
    <cfRule type="containsText" dxfId="15" priority="3" operator="containsText" text="Discounted">
      <formula>NOT(ISERROR(SEARCH("Discounted",B19)))</formula>
    </cfRule>
    <cfRule type="notContainsBlanks" dxfId="14" priority="4">
      <formula>LEN(TRIM(B19))&gt;0</formula>
    </cfRule>
    <cfRule type="expression" dxfId="13" priority="5">
      <formula>$B19="Stakeholder Group"</formula>
    </cfRule>
    <cfRule type="expression" dxfId="12" priority="6">
      <formula>$B19="Total"</formula>
    </cfRule>
    <cfRule type="expression" dxfId="11" priority="7">
      <formula>$B19="Year"</formula>
    </cfRule>
    <cfRule type="expression" dxfId="10" priority="8">
      <formula>$B19="Annualized"</formula>
    </cfRule>
  </conditionalFormatting>
  <dataValidations xWindow="781" yWindow="382" count="7">
    <dataValidation type="list" allowBlank="1" showInputMessage="1" showErrorMessage="1" prompt="Default lists activities by the order in which they appear on the Activities sheet, and then stakeholder groups by the order in which they appear on the Stakeholder Profile sheet." sqref="C13" xr:uid="{4ED26429-0C95-4E94-B58C-DF044FF4967D}">
      <formula1>"Default, Total Impact (↑), Total Impact (↓), Stakeholder Group (↑az), Stakeholder Group (↓za), Activity (↑az), Activity (↓za)"</formula1>
    </dataValidation>
    <dataValidation type="list" allowBlank="1" showInputMessage="1" showErrorMessage="1" sqref="C10" xr:uid="{76DFFEE3-6507-4B6A-A207-F1528803CF22}">
      <formula1>"0, 1, 2, 3, 4"</formula1>
    </dataValidation>
    <dataValidation type="list" allowBlank="1" showInputMessage="1" showErrorMessage="1" sqref="C11" xr:uid="{4856B213-DF32-4220-B0D3-366C0C754254}">
      <formula1>"Single, Millions, Billions"</formula1>
    </dataValidation>
    <dataValidation type="list" allowBlank="1" showInputMessage="1" showErrorMessage="1" sqref="C12" xr:uid="{D41DFEB2-D5F0-4064-9781-13AC5F2C77F6}">
      <formula1>"Discounting, IN | OUT | NET"</formula1>
    </dataValidation>
    <dataValidation type="list" allowBlank="1" showInputMessage="1" showErrorMessage="1" sqref="C14" xr:uid="{B9E9C70C-DDF4-4E55-8FCD-17B0259DF86B}">
      <formula1>"Columns, Rows"</formula1>
    </dataValidation>
    <dataValidation type="list" allowBlank="1" showInputMessage="1" showErrorMessage="1" prompt="Text: for copy-pasting into Word. _x000a__x000a_Numbers: for additional manipulations in Excel." sqref="C9:C10" xr:uid="{95E8AEAF-8594-416A-B6D2-A019645EDDFA}">
      <formula1>"Text, Numbers"</formula1>
    </dataValidation>
    <dataValidation type="list" allowBlank="1" showInputMessage="1" showErrorMessage="1" sqref="C9:C10" xr:uid="{E3BBA411-D216-486B-8A60-1FF62292A801}">
      <formula1>"Text, Number"</formula1>
    </dataValidation>
  </dataValidation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433CD2-6271-49D7-AED7-EC26C992B82E}">
  <sheetPr codeName="Sheet17">
    <tabColor rgb="FFFFFF00"/>
  </sheetPr>
  <dimension ref="B2:U21"/>
  <sheetViews>
    <sheetView showGridLines="0" zoomScaleNormal="100" workbookViewId="0">
      <selection activeCell="B21" sqref="B21"/>
    </sheetView>
  </sheetViews>
  <sheetFormatPr defaultColWidth="9.109375" defaultRowHeight="11.4" x14ac:dyDescent="0.3"/>
  <cols>
    <col min="1" max="1" width="9.109375" style="137"/>
    <col min="2" max="2" width="44.109375" style="136" customWidth="1"/>
    <col min="3" max="3" width="21.109375" style="137" customWidth="1"/>
    <col min="4" max="4" width="20" style="137" customWidth="1"/>
    <col min="5" max="5" width="16.44140625" style="137" customWidth="1"/>
    <col min="6" max="6" width="18.33203125" style="137" customWidth="1"/>
    <col min="7" max="7" width="16" style="137" customWidth="1"/>
    <col min="8" max="8" width="14.109375" style="137" customWidth="1"/>
    <col min="9" max="9" width="14.88671875" style="137" customWidth="1"/>
    <col min="10" max="15" width="14.109375" style="137" customWidth="1"/>
    <col min="16" max="20" width="9.109375" style="137"/>
    <col min="21" max="21" width="13.88671875" style="137" bestFit="1" customWidth="1"/>
    <col min="22" max="16384" width="9.109375" style="137"/>
  </cols>
  <sheetData>
    <row r="2" spans="2:21" ht="15.6" x14ac:dyDescent="0.3">
      <c r="B2" s="161" t="s">
        <v>157</v>
      </c>
      <c r="C2" s="166"/>
      <c r="D2" s="166"/>
    </row>
    <row r="3" spans="2:21" ht="13.2" x14ac:dyDescent="0.3">
      <c r="B3" s="167"/>
      <c r="C3" s="166"/>
      <c r="D3" s="166"/>
    </row>
    <row r="4" spans="2:21" ht="13.2" x14ac:dyDescent="0.3">
      <c r="B4" s="167"/>
      <c r="C4" s="166"/>
      <c r="D4" s="166"/>
    </row>
    <row r="5" spans="2:21" ht="13.2" x14ac:dyDescent="0.3">
      <c r="B5" s="168" t="s">
        <v>131</v>
      </c>
      <c r="C5" s="169" t="s">
        <v>132</v>
      </c>
      <c r="D5" s="215" t="s">
        <v>133</v>
      </c>
    </row>
    <row r="6" spans="2:21" ht="15" customHeight="1" x14ac:dyDescent="0.3">
      <c r="B6" s="170" t="s">
        <v>158</v>
      </c>
      <c r="C6" s="171" t="str">
        <f>Time&amp;" ("&amp;YearOfRegistration&amp;" to "&amp;YearOfRegistration+Time-1&amp;")"</f>
        <v>10 (2025 to 2034)</v>
      </c>
      <c r="D6" s="269" t="s">
        <v>135</v>
      </c>
    </row>
    <row r="7" spans="2:21" ht="13.2" x14ac:dyDescent="0.3">
      <c r="B7" s="172" t="s">
        <v>111</v>
      </c>
      <c r="C7" s="173">
        <f>PriceYear</f>
        <v>2024</v>
      </c>
      <c r="D7" s="270"/>
    </row>
    <row r="8" spans="2:21" ht="13.2" x14ac:dyDescent="0.3">
      <c r="B8" s="172" t="s">
        <v>145</v>
      </c>
      <c r="C8" s="173">
        <f>PVBaseYear</f>
        <v>2025</v>
      </c>
      <c r="D8" s="270"/>
    </row>
    <row r="9" spans="2:21" ht="13.2" x14ac:dyDescent="0.3">
      <c r="B9" s="174" t="s">
        <v>112</v>
      </c>
      <c r="C9" s="241">
        <f>Discount</f>
        <v>7.0000000000000007E-2</v>
      </c>
      <c r="D9" s="271"/>
    </row>
    <row r="10" spans="2:21" ht="15" customHeight="1" x14ac:dyDescent="0.3">
      <c r="B10" s="150" t="s">
        <v>136</v>
      </c>
      <c r="C10" s="151" t="s">
        <v>137</v>
      </c>
      <c r="D10" s="272" t="s">
        <v>146</v>
      </c>
    </row>
    <row r="11" spans="2:21" ht="13.2" x14ac:dyDescent="0.3">
      <c r="B11" s="175" t="s">
        <v>139</v>
      </c>
      <c r="C11" s="176">
        <v>0</v>
      </c>
      <c r="D11" s="273"/>
      <c r="E11" s="164"/>
    </row>
    <row r="12" spans="2:21" ht="13.2" x14ac:dyDescent="0.3">
      <c r="B12" s="175" t="s">
        <v>140</v>
      </c>
      <c r="C12" s="176" t="s">
        <v>141</v>
      </c>
      <c r="D12" s="273"/>
    </row>
    <row r="13" spans="2:21" ht="13.2" x14ac:dyDescent="0.3">
      <c r="B13" s="175" t="s">
        <v>142</v>
      </c>
      <c r="C13" s="176" t="s">
        <v>143</v>
      </c>
      <c r="D13" s="274"/>
      <c r="U13" s="177"/>
    </row>
    <row r="14" spans="2:21" ht="13.2" x14ac:dyDescent="0.3">
      <c r="B14" s="178" t="s">
        <v>159</v>
      </c>
      <c r="C14" s="179"/>
      <c r="D14" s="266" t="s">
        <v>160</v>
      </c>
    </row>
    <row r="15" spans="2:21" ht="13.2" x14ac:dyDescent="0.3">
      <c r="B15" s="180" t="s">
        <v>161</v>
      </c>
      <c r="C15" s="181"/>
      <c r="D15" s="267"/>
    </row>
    <row r="16" spans="2:21" ht="13.2" x14ac:dyDescent="0.3">
      <c r="B16" s="182" t="s">
        <v>162</v>
      </c>
      <c r="C16" s="183"/>
      <c r="D16" s="268"/>
      <c r="G16" s="137" t="s">
        <v>152</v>
      </c>
    </row>
    <row r="17" spans="2:4" ht="13.2" x14ac:dyDescent="0.3">
      <c r="B17" s="184"/>
      <c r="C17" s="166"/>
      <c r="D17" s="166"/>
    </row>
    <row r="18" spans="2:4" ht="13.2" x14ac:dyDescent="0.3">
      <c r="B18" s="155" t="s">
        <v>151</v>
      </c>
      <c r="C18" s="166"/>
      <c r="D18" s="166"/>
    </row>
    <row r="19" spans="2:4" ht="13.2" x14ac:dyDescent="0.3">
      <c r="B19" s="152" t="str" cm="1">
        <f t="array" ref="B19">IF(NoErrors, "", IF(OneError, "There is an unresolved error on the Activities sheet.", "There are unresolved errors on the Activities sheet."))</f>
        <v>There is an unresolved error on the Activities sheet.</v>
      </c>
    </row>
    <row r="21" spans="2:4" x14ac:dyDescent="0.3">
      <c r="B21" s="136" t="str" cm="1">
        <f t="array" ref="B21">_xlfn.LET(
_xlpm.M, 1/10^IF($C$12="Millions", 6, IF($C$12="Billions", 9)),
_xlpm.M_txt, IF($C$12="Millions", " ($ millions)", IF($C$12="Billions", " ($ billions)", "")),
_xlpm.FO_Impact,_xlfn.ANCHORARRAY( 'Full Output'!$AI$2),
_xlpm.hd, _xlfn.HSTACK("Stakeholder Group", "Activity", _xlfn.HSTACK(_xlfn.SEQUENCE(, Time, YearOfRegistration), "Total (present value)", "Annualized")),
_xlpm.hb, _xlfn.HSTACK("Impacted Stakeholder", "Description of benefit", YrsHdr_U),
_xlpm.hc, _xlfn.HSTACK("Impacted Stakeholder", "Description of cost", YrsHdr_U),
_xlpm.s, IF($C$13="Default", 1, IF($C$13="Total Impact (↑)", 2, IF($C$13="Total Impact (↓)", 3, IF($C$13="Stakeholder Group (↑az)", 4, IF($C$13="Stakeholder Group (↓za)", 5, IF($C$13="Activity (↑az)", 6, IF($C$13="Activity (↓za)", 7))))))),
_xlpm.T_3, Time+3,
_xlpm.v, COUNTBLANK($C$14:$C$16),
_xlpm.d, --($C$10="Text"),
_xlpm.NUMTXT, _xlfn.LAMBDA(_xlpm.Value,_xlpm.Decimals,_xlpm.Text, IF(_xlpm.Text=1, DOLLAR(_xlpm.Value, _xlpm.Decimals), _xlpm.Value)),
_xlpm.IN_D,
     _xlfn.LET(_xlpm.x, _xlfn.MAKEARRAY(ROWS(IN_AS), Time, _xlfn.LAMBDA(_xlpm.r,_xlpm.c,
     SUMIFS(INDEX(_xlpm.FO_Impact,, NGroups+MATCH(INDEX(IN_AS, _xlpm.r, 1), Groups, 0)), FO_InOut, "In", FO_Act, INDEX(IN_AS, _xlpm.r, 2), FO_Yrs, INDEX(Yrs, _xlpm.c,)))),
     _xlpm.y, _xlfn.BYROW(_xlpm.x, _xlfn.LAMBDA(_xlpm.a, SUM(_xlpm.a))),
     _xlpm.z, _xlfn.HSTACK(_xlpm.x, _xlpm.y, _xlpm.y*AF),
     _xlpm.e, _xlfn.HSTACK(IN_AS, _xlpm.z),
     _xlpm.f, IF(_xlpm.s=1, _xlpm.e, _xlfn._xlws.SORT(_xlpm.e, IF(_xlpm.s&lt;4, _xlpm.T_3, IF(_xlpm.s&lt;6, 1, 2)), IF(ISEVEN(_xlpm.s), 1, -1))),
     _xlpm.g, _xlfn.HSTACK(_xlfn.TAKE(_xlpm.f,, 2), _xlpm.NUMTXT(_xlfn.DROP(_xlpm.f,, 2)*_xlpm.M, $C$11, _xlpm.d)),
     _xlpm.t, _xlfn.VSTACK(_xlpm.hd, _xlpm.g, _xlfn.HSTACK("", "", _xlpm.NUMTXT(_xlfn.BYCOL(_xlpm.z, _xlfn.LAMBDA(_xlpm.b, SUM(_xlpm.b)))*_xlpm.M, $C$11, _xlpm.d))),
     _xlpm.t),
_xlpm.IN_U,
     _xlfn.LET(_xlpm.x, _xlfn.MAKEARRAY(ROWS(IN_AS), Time, _xlfn.LAMBDA(_xlpm.r,_xlpm.c,
     SUMIFS(INDEX(_xlpm.FO_Impact,, MATCH(INDEX(IN_AS, _xlpm.r, 1), Groups, 0)), FO_InOut, "In", FO_Act, INDEX(IN_AS, _xlpm.r, 2), FO_Yrs, INDEX(Yrs, _xlpm.c,)))),
     _xlpm.y, _xlfn.BYROW(_xlpm.x, _xlfn.LAMBDA(_xlpm.a, SUM(_xlpm.a))),
     _xlpm.z, _xlfn.HSTACK(_xlpm.x, _xlpm.y),
     _xlpm.e, _xlfn.HSTACK(IN_AS, _xlpm.z),
     _xlpm.f, IF(_xlpm.s=1, _xlpm.e, _xlfn._xlws.SORT(_xlpm.e, IF(_xlpm.s&lt;4, _xlpm.T_3, IF(_xlpm.s&lt;6, 1, 2)), IF(ISEVEN(_xlpm.s), 1, -1))),
     _xlpm.g, _xlfn.HSTACK(_xlfn.TAKE(_xlpm.f,, 2), _xlpm.NUMTXT(_xlfn.DROP(_xlpm.f,, 2)*_xlpm.M, $C$11, _xlpm.d)),
     _xlpm.t, _xlfn.VSTACK(_xlpm.hc, _xlpm.g, _xlfn.HSTACK("All Stakeholders", "Total costs", _xlpm.NUMTXT(_xlfn.BYCOL(_xlpm.z, _xlfn.LAMBDA(_xlpm.b, SUM(_xlpm.b)))*_xlpm.M, $C$11, _xlpm.d))),
     _xlpm.t),
_xlpm.OUT_D,
     _xlfn.LET(_xlpm.x, _xlfn.MAKEARRAY(ROWS(OUT_AS), Time, _xlfn.LAMBDA(_xlpm.r,_xlpm.c,
     SUMIFS(INDEX(_xlpm.FO_Impact,, NGroups+MATCH(INDEX(OUT_AS, _xlpm.r, 1), Groups, 0)), FO_InOut, "Out", FO_Act, INDEX(OUT_AS, _xlpm.r, 2), FO_Yrs, INDEX(Yrs, _xlpm.c,)))),
     _xlpm.y, _xlfn.BYROW(_xlpm.x, _xlfn.LAMBDA(_xlpm.a, SUM(_xlpm.a))),
     _xlpm.z, -_xlfn.HSTACK(_xlpm.x, _xlpm.y, _xlpm.y*AF),
     _xlpm.e, _xlfn.HSTACK(OUT_AS, _xlpm.z),
     _xlpm.f, IF(_xlpm.s=1, _xlpm.e, _xlfn._xlws.SORT(_xlpm.e, IF(_xlpm.s&lt;4, _xlpm.T_3, IF(_xlpm.s&lt;6, 1, 2)), IF(ISEVEN(_xlpm.s), 1, -1))),
     _xlpm.g, _xlfn.HSTACK(_xlfn.TAKE(_xlpm.f,, 2), _xlpm.NUMTXT(_xlfn.DROP(_xlpm.f,, 2)*_xlpm.M, $C$11, _xlpm.d)),
     _xlpm.t, _xlfn.VSTACK(_xlpm.hd, _xlpm.g, _xlfn.HSTACK("", "", _xlpm.NUMTXT(_xlfn.BYCOL(_xlpm.z, _xlfn.LAMBDA(_xlpm.b, SUM(_xlpm.b)))*_xlpm.M, $C$11, _xlpm.d))),
     _xlpm.t),
_xlpm.OUT_U,
     _xlfn.LET(_xlpm.x, _xlfn.MAKEARRAY(ROWS(OUT_AS), Time, _xlfn.LAMBDA(_xlpm.r,_xlpm.c,
     SUMIFS(INDEX(_xlpm.FO_Impact,, MATCH(INDEX(OUT_AS, _xlpm.r, 1), Groups, 0)), FO_InOut, "Out", FO_Act, INDEX(OUT_AS, _xlpm.r, 2), FO_Yrs, INDEX(Yrs, _xlpm.c,)))),
     _xlpm.y, _xlfn.BYROW(_xlpm.x, _xlfn.LAMBDA(_xlpm.a, SUM(_xlpm.a))),
     _xlpm.z, -_xlfn.HSTACK(_xlpm.x, _xlpm.y),
     _xlpm.e, _xlfn.HSTACK(OUT_AS, _xlpm.z),
     _xlpm.f, IF(_xlpm.s=1, _xlpm.e, _xlfn._xlws.SORT(_xlpm.e, IF(_xlpm.s&lt;4, _xlpm.T_3, IF(_xlpm.s&lt;6, 1, 2)), IF(ISEVEN(_xlpm.s), 1, -1))),
     _xlpm.g, _xlfn.HSTACK(_xlfn.TAKE(_xlpm.f,, 2), _xlpm.NUMTXT(_xlfn.DROP(_xlpm.f,, 2)*_xlpm.M, $C$11, _xlpm.d)),
     _xlpm.t, _xlfn.VSTACK(_xlpm.hb, _xlpm.g, _xlfn.HSTACK("All Stakeholders", "Total benefits", _xlpm.NUMTXT(_xlfn.BYCOL(_xlpm.z, _xlfn.LAMBDA(_xlpm.b, SUM(_xlpm.b)))*_xlpm.M, $C$11, _xlpm.d))),
     _xlpm.t),
_xlpm.NET_D,
     _xlfn.LET(_xlpm.x, _xlfn.MAKEARRAY(3, Time, _xlfn.LAMBDA(_xlpm.r,_xlpm.c,
     IF(_xlpm.r=1, -SUMIFS(FO_ImpactD, FO_InOut, "Out", FO_Yrs, INDEX(Yrs, _xlpm.c,)), IF(_xlpm.r=2, SUMIFS(FO_ImpactD, FO_InOut, "In", FO_Yrs, INDEX(Yrs, _xlpm.c,)), -SUMIFS(FO_ImpactD, FO_Yrs, INDEX(Yrs, _xlpm.c,)))))),
     _xlpm.y, _xlfn.BYROW(_xlpm.x, _xlfn.LAMBDA(_xlpm.a, SUM(_xlpm.a))),
     _xlpm.z, _xlpm.NUMTXT(_xlfn.HSTACK(_xlpm.x, _xlpm.y, _xlpm.y*AF)*_xlpm.M, $C$11, _xlpm.d),
     _xlpm.t, _xlfn.VSTACK(_xlfn.HSTACK("Impact", _xlfn.HSTACK(_xlfn.SEQUENCE(, Time, YearOfRegistration), "Total (present value)", "Annualized")), _xlfn.HSTACK(_xlfn.VSTACK("Total benefits", "Total costs", "Net impact"), _xlpm.z)),
     _xlpm.t),
_xlpm.NET_U,
     _xlfn.LET(_xlpm.x, _xlfn.MAKEARRAY(3, Time, _xlfn.LAMBDA(_xlpm.r,_xlpm.c,
     IF(_xlpm.r=1, -SUMIFS(FO_ImpactU, FO_InOut, "Out", FO_Yrs, INDEX(Yrs, _xlpm.c,)), IF(_xlpm.r=2, SUMIFS(FO_ImpactU, FO_InOut, "In", FO_Yrs, INDEX(Yrs, _xlpm.c,)), -SUMIFS(FO_ImpactU, FO_Yrs, INDEX(Yrs, _xlpm.c,)))))),
     _xlpm.y, _xlfn.BYROW(_xlpm.x, _xlfn.LAMBDA(_xlpm.a, SUM(_xlpm.a))),
     _xlpm.z, _xlpm.NUMTXT(_xlfn.HSTACK(_xlpm.x, _xlpm.y)*_xlpm.M, $C$11, _xlpm.d),
     _xlpm.t, _xlfn.VSTACK(_xlfn.HSTACK("Impact", YrsHdr_U), _xlfn.HSTACK(_xlfn.VSTACK("Total benefits", "Total costs", "Net impact"), _xlpm.z)),
     _xlpm.t),
_xlpm.MB, _xlfn.VSTACK("Monetized benefits"&amp;_xlpm.M_txt,
     TRANSPOSE(_xlfn.DROP(_xlfn._xlws.SORT(TRANSPOSE(_xlfn.LET(_xlpm.h, _xlfn.HSTACK(_xlfn.TAKE(_xlpm.OUT_U,, 3), IFERROR(INDEX(_xlpm.OUT_U,, $C$14-YearOfRegistration+3), ""), IFERROR(INDEX(_xlpm.OUT_U,, $C$15-YearOfRegistration+3), ""), IFERROR(INDEX(_xlpm.OUT_U,, $C$16-YearOfRegistration+3), ""), INDEX(_xlpm.OUT_U,, COLUMNS(_xlpm.OUT_U)-1), _xlfn.TAKE(_xlpm.OUT_D,,-2)), _xlfn.VSTACK(IF(INDEX(_xlpm.h, 1)="", 1, 0), _xlpm.h)))), -_xlpm.v, 1))),
_xlpm.MC, _xlfn.VSTACK("Monetized costs"&amp;_xlpm.M_txt,
     TRANSPOSE(_xlfn.DROP(_xlfn._xlws.SORT(TRANSPOSE(_xlfn.LET(_xlpm.h, _xlfn.HSTACK(_xlfn.TAKE(_xlpm.IN_U,, 3), IFERROR(INDEX(_xlpm.IN_U,, $C$14-YearOfRegistration+3), ""), IFERROR(INDEX(_xlpm.IN_U,, $C$15-YearOfRegistration+3), ""), IFERROR(INDEX(_xlpm.IN_U,, $C$16-YearOfRegistration+3), ""), INDEX(_xlpm.IN_U,, COLUMNS(_xlpm.IN_U)-1), _xlfn.TAKE(_xlpm.IN_D,,-2)), _xlfn.VSTACK(IF(INDEX(_xlpm.h, 1)="", 1, 0), _xlpm.h)))), -_xlpm.v, 1))),
_xlpm.NI, _xlfn.VSTACK("Summary of monetized benefits and costs"&amp;_xlpm.M_txt,
     TRANSPOSE(_xlfn.DROP(_xlfn._xlws.SORT(TRANSPOSE(_xlfn.LET(_xlpm.h, _xlfn.HSTACK(_xlfn.TAKE(_xlpm.NET_U,, 2), IFERROR(INDEX(_xlpm.NET_U,, $C$14-YearOfRegistration+2), ""), IFERROR(INDEX(_xlpm.NET_U,, $C$15-YearOfRegistration+2), ""), IFERROR(INDEX(_xlpm.NET_U,, $C$16-YearOfRegistration+2), ""), INDEX(_xlpm.NET_U,, COLUMNS(_xlpm.NET_U)-1), _xlfn.TAKE(_xlpm.NET_D,,-2)), _xlfn.VSTACK(IF(INDEX(_xlpm.h, 1)="", 1, 0), _xlpm.h)))), -_xlpm.v, 1))),
_xlpm.j, IFERROR(IF(NoOut, _xlfn.VSTACK(_xlpm.MC, "", "", _xlpm.NI), IF(NoIn, _xlfn.VSTACK(_xlpm.MB, "", "", _xlpm.NI), _xlfn.VSTACK(_xlpm.MB, "", "", _xlpm.MC, "", "", _xlpm.NI))), ""),
_xlpm.j)</f>
        <v/>
      </c>
    </row>
  </sheetData>
  <mergeCells count="3">
    <mergeCell ref="D14:D16"/>
    <mergeCell ref="D6:D9"/>
    <mergeCell ref="D10:D13"/>
  </mergeCells>
  <conditionalFormatting sqref="B19">
    <cfRule type="notContainsBlanks" dxfId="9" priority="1">
      <formula>LEN(TRIM(B19))&gt;0</formula>
    </cfRule>
  </conditionalFormatting>
  <conditionalFormatting sqref="B21:CZ504">
    <cfRule type="containsText" dxfId="8" priority="3" operator="containsText" text="Monetized">
      <formula>NOT(ISERROR(SEARCH("Monetized",B21)))</formula>
    </cfRule>
    <cfRule type="notContainsBlanks" dxfId="7" priority="4">
      <formula>LEN(TRIM(B21))&gt;0</formula>
    </cfRule>
    <cfRule type="expression" dxfId="6" priority="7">
      <formula>$B21="Impacted Stakeholder"</formula>
    </cfRule>
    <cfRule type="expression" dxfId="5" priority="8">
      <formula>$B21="All Stakeholders"</formula>
    </cfRule>
    <cfRule type="expression" dxfId="4" priority="9">
      <formula>$B21="Net impact"</formula>
    </cfRule>
    <cfRule type="expression" dxfId="3" priority="10">
      <formula>$B21="Impact"</formula>
    </cfRule>
  </conditionalFormatting>
  <dataValidations xWindow="581" yWindow="403" count="5">
    <dataValidation type="list" allowBlank="1" showInputMessage="1" showErrorMessage="1" sqref="C12" xr:uid="{05C1CD0F-A846-4624-BF78-EA0331782802}">
      <formula1>"Single, Millions, Billions"</formula1>
    </dataValidation>
    <dataValidation type="list" allowBlank="1" showInputMessage="1" showErrorMessage="1" sqref="C11" xr:uid="{CC1AB4DC-05C4-4650-B884-09FA0B159621}">
      <formula1>"0, 1, 2, 3, 4"</formula1>
    </dataValidation>
    <dataValidation type="list" allowBlank="1" showInputMessage="1" showErrorMessage="1" prompt="Default lists activities by the order in which they appear on the Activities sheet, and then stakeholder groups by the order in which they appear on the Stakeholder Profile sheet." sqref="C13" xr:uid="{FB64DE11-4293-4049-9C37-C9D6087DCB8F}">
      <formula1>"Default, Total Impact (↑), Total Impact (↓), Stakeholder Group (↑az), Stakeholder Group (↓za), Activity (↑az), Activity (↓za)"</formula1>
    </dataValidation>
    <dataValidation type="list" allowBlank="1" showInputMessage="1" showErrorMessage="1" prompt="Text: for copy-pasting into Word. _x000a__x000a_Numbers: for additional manipulations in Excel." sqref="C10:C11" xr:uid="{7444392B-0B3A-4F37-A6A0-9A2FBB5A2606}">
      <formula1>"Text, Numbers"</formula1>
    </dataValidation>
    <dataValidation type="list" allowBlank="1" showInputMessage="1" showErrorMessage="1" prompt="Text: facilitates copy-pasting into Word. _x000a__x000a_Number: enables additional manipulations in Excel." sqref="C10:C11" xr:uid="{F68E8D49-B59C-4339-B311-E908E25F7F32}">
      <formula1>"Text, Number"</formula1>
    </dataValidation>
  </dataValidations>
  <pageMargins left="0.7" right="0.7" top="0.75" bottom="0.75" header="0.3" footer="0.3"/>
  <drawing r:id="rId1"/>
  <extLst>
    <ext xmlns:x14="http://schemas.microsoft.com/office/spreadsheetml/2009/9/main" uri="{CCE6A557-97BC-4b89-ADB6-D9C93CAAB3DF}">
      <x14:dataValidations xmlns:xm="http://schemas.microsoft.com/office/excel/2006/main" xWindow="581" yWindow="403" count="3">
        <x14:dataValidation type="list" allowBlank="1" showInputMessage="1" showErrorMessage="1" xr:uid="{B3FCD026-D624-4494-85BA-A5F0C9E554EF}">
          <x14:formula1>
            <xm:f>_xlfn.ANCHORARRAY(Controls!$K$2)</xm:f>
          </x14:formula1>
          <xm:sqref>C14</xm:sqref>
        </x14:dataValidation>
        <x14:dataValidation type="list" allowBlank="1" showInputMessage="1" showErrorMessage="1" xr:uid="{C5F8C651-61F0-40E0-A046-F7C5ABC5161E}">
          <x14:formula1>
            <xm:f>_xlfn.ANCHORARRAY(Controls!$L$2)</xm:f>
          </x14:formula1>
          <xm:sqref>C15</xm:sqref>
        </x14:dataValidation>
        <x14:dataValidation type="list" allowBlank="1" showInputMessage="1" showErrorMessage="1" xr:uid="{4B8E8857-6393-4C42-9F42-3EFBAF7F01AD}">
          <x14:formula1>
            <xm:f>_xlfn.ANCHORARRAY(Controls!$M$2)</xm:f>
          </x14:formula1>
          <xm:sqref>C16</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1B5B5-2777-4837-ADE6-5629277B427F}">
  <sheetPr codeName="Sheet14">
    <tabColor rgb="FFFFC000"/>
  </sheetPr>
  <dimension ref="B2:I67"/>
  <sheetViews>
    <sheetView showGridLines="0" zoomScaleNormal="100" workbookViewId="0">
      <pane ySplit="14" topLeftCell="A45" activePane="bottomLeft" state="frozen"/>
      <selection activeCell="R28" sqref="R28"/>
      <selection pane="bottomLeft" activeCell="D66" sqref="D66"/>
    </sheetView>
  </sheetViews>
  <sheetFormatPr defaultColWidth="9.109375" defaultRowHeight="11.4" x14ac:dyDescent="0.2"/>
  <cols>
    <col min="1" max="1" width="2.88671875" style="14" customWidth="1"/>
    <col min="2" max="2" width="12.5546875" style="115" customWidth="1"/>
    <col min="3" max="3" width="9.44140625" style="14" customWidth="1"/>
    <col min="4" max="4" width="82.88671875" style="14" customWidth="1"/>
    <col min="5" max="5" width="26.88671875" style="14" customWidth="1"/>
    <col min="6" max="6" width="27.44140625" style="14" customWidth="1"/>
    <col min="7" max="7" width="27.109375" style="14" customWidth="1"/>
    <col min="8" max="8" width="9.109375" style="14"/>
    <col min="9" max="9" width="13.109375" style="14" bestFit="1" customWidth="1"/>
    <col min="10" max="16384" width="9.109375" style="14"/>
  </cols>
  <sheetData>
    <row r="2" spans="2:7" ht="13.8" x14ac:dyDescent="0.25">
      <c r="B2" s="114"/>
      <c r="C2" s="107" t="s">
        <v>163</v>
      </c>
    </row>
    <row r="3" spans="2:7" ht="12" x14ac:dyDescent="0.25">
      <c r="B3" s="114"/>
      <c r="C3" s="53"/>
    </row>
    <row r="4" spans="2:7" x14ac:dyDescent="0.2">
      <c r="C4" s="54"/>
      <c r="D4" s="55"/>
    </row>
    <row r="5" spans="2:7" x14ac:dyDescent="0.2">
      <c r="D5" s="55"/>
    </row>
    <row r="6" spans="2:7" x14ac:dyDescent="0.2">
      <c r="C6" s="55"/>
      <c r="D6" s="55"/>
    </row>
    <row r="7" spans="2:7" x14ac:dyDescent="0.2">
      <c r="C7" s="55"/>
      <c r="D7" s="55"/>
    </row>
    <row r="8" spans="2:7" x14ac:dyDescent="0.2">
      <c r="C8" s="55"/>
      <c r="D8" s="55"/>
    </row>
    <row r="9" spans="2:7" x14ac:dyDescent="0.2">
      <c r="C9" s="54"/>
    </row>
    <row r="10" spans="2:7" x14ac:dyDescent="0.2">
      <c r="C10" s="54"/>
    </row>
    <row r="11" spans="2:7" x14ac:dyDescent="0.2">
      <c r="C11" s="54"/>
    </row>
    <row r="12" spans="2:7" x14ac:dyDescent="0.2">
      <c r="C12" s="54"/>
    </row>
    <row r="13" spans="2:7" x14ac:dyDescent="0.2">
      <c r="C13" s="55"/>
    </row>
    <row r="14" spans="2:7" ht="24" x14ac:dyDescent="0.2">
      <c r="B14" s="115" t="str" cm="1">
        <f t="array" ref="B14:B67">_xlfn.LET(_xlpm.rows,ROWS(tbl_Wages[]),_xlpm.anyblank,SUM(Checkblank_wages)&lt;_xlpm.rows,_xlpm.firstblank,MATCH(0,Checkblank_wages,0),_xlpm.message,"Type Here ⮚", _xlfn.MAKEARRAY(_xlpm.rows+2,1,_xlfn.LAMBDA(_xlpm.r,_xlpm.c,IF(AND(_xlpm.rows=1, _xlpm.anyblank),IF(_xlpm.r=2,_xlpm.message,""),IF(_xlpm.anyblank,IF(_xlpm.r=_xlpm.firstblank+1,_xlpm.message,""),IF(_xlpm.r=_xlpm.rows+2,_xlpm.message,""))))))</f>
        <v/>
      </c>
      <c r="C14" s="120" t="s">
        <v>164</v>
      </c>
      <c r="D14" s="50" t="s">
        <v>165</v>
      </c>
      <c r="E14" s="51" t="s">
        <v>166</v>
      </c>
      <c r="F14" s="51" t="s">
        <v>167</v>
      </c>
      <c r="G14" s="79" t="s">
        <v>168</v>
      </c>
    </row>
    <row r="15" spans="2:7" x14ac:dyDescent="0.2">
      <c r="B15" s="115" t="str">
        <v/>
      </c>
      <c r="C15" s="121" t="str">
        <f>TEXT(ROW(C15)-ROW(tbl_Wages[[#Headers],[Number]]), "00")</f>
        <v>01</v>
      </c>
      <c r="D15" s="122" t="s">
        <v>169</v>
      </c>
      <c r="E15" s="82">
        <v>2021</v>
      </c>
      <c r="F15" s="80">
        <v>30.03</v>
      </c>
      <c r="G15" s="80">
        <f>IFERROR(tbl_Wages[[#This Row],[Wage in price year of data source (without overhead)]]*INDEX(tbl_CPI[Index], MATCH(PriceYear, tbl_CPI[Year], 0))/INDEX(tbl_CPI[Index], MATCH(tbl_Wages[[#This Row],[Price year of data source]], tbl_CPI[Year], 0)), "")</f>
        <v>34.12307203389831</v>
      </c>
    </row>
    <row r="16" spans="2:7" x14ac:dyDescent="0.2">
      <c r="B16" s="115" t="str">
        <v/>
      </c>
      <c r="C16" s="121" t="str">
        <f>TEXT(ROW(C16)-ROW(tbl_Wages[[#Headers],[Number]]), "00")</f>
        <v>02</v>
      </c>
      <c r="D16" s="122" t="s">
        <v>170</v>
      </c>
      <c r="E16" s="82">
        <v>2021</v>
      </c>
      <c r="F16" s="80">
        <v>49</v>
      </c>
      <c r="G16" s="80">
        <f>IFERROR(tbl_Wages[[#This Row],[Wage in price year of data source (without overhead)]]*INDEX(tbl_CPI[Index], MATCH(PriceYear, tbl_CPI[Year], 0))/INDEX(tbl_CPI[Index], MATCH(tbl_Wages[[#This Row],[Price year of data source]], tbl_CPI[Year], 0)), "")</f>
        <v>55.678672316384187</v>
      </c>
    </row>
    <row r="17" spans="2:7" x14ac:dyDescent="0.2">
      <c r="B17" s="115" t="str">
        <v/>
      </c>
      <c r="C17" s="121" t="str">
        <f>TEXT(ROW(C17)-ROW(tbl_Wages[[#Headers],[Number]]), "00")</f>
        <v>03</v>
      </c>
      <c r="D17" s="122" t="s">
        <v>171</v>
      </c>
      <c r="E17" s="82">
        <v>2021</v>
      </c>
      <c r="F17" s="80">
        <v>57.52</v>
      </c>
      <c r="G17" s="80">
        <f>IFERROR(tbl_Wages[[#This Row],[Wage in price year of data source (without overhead)]]*INDEX(tbl_CPI[Index], MATCH(PriceYear, tbl_CPI[Year], 0))/INDEX(tbl_CPI[Index], MATCH(tbl_Wages[[#This Row],[Price year of data source]], tbl_CPI[Year], 0)), "")</f>
        <v>65.359943502824862</v>
      </c>
    </row>
    <row r="18" spans="2:7" x14ac:dyDescent="0.2">
      <c r="B18" s="115" t="str">
        <v/>
      </c>
      <c r="C18" s="121" t="str">
        <f>TEXT(ROW(C18)-ROW(tbl_Wages[[#Headers],[Number]]), "00")</f>
        <v>04</v>
      </c>
      <c r="D18" s="122" t="s">
        <v>172</v>
      </c>
      <c r="E18" s="82">
        <v>2021</v>
      </c>
      <c r="F18" s="80">
        <v>52.98</v>
      </c>
      <c r="G18" s="80">
        <f>IFERROR(tbl_Wages[[#This Row],[Wage in price year of data source (without overhead)]]*INDEX(tbl_CPI[Index], MATCH(PriceYear, tbl_CPI[Year], 0))/INDEX(tbl_CPI[Index], MATCH(tbl_Wages[[#This Row],[Price year of data source]], tbl_CPI[Year], 0)), "")</f>
        <v>60.201144067796612</v>
      </c>
    </row>
    <row r="19" spans="2:7" x14ac:dyDescent="0.2">
      <c r="B19" s="115" t="str">
        <v/>
      </c>
      <c r="C19" s="121" t="str">
        <f>TEXT(ROW(C19)-ROW(tbl_Wages[[#Headers],[Number]]), "00")</f>
        <v>05</v>
      </c>
      <c r="D19" s="122" t="s">
        <v>173</v>
      </c>
      <c r="E19" s="82">
        <v>2021</v>
      </c>
      <c r="F19" s="80">
        <v>39.28</v>
      </c>
      <c r="G19" s="80">
        <f>IFERROR(tbl_Wages[[#This Row],[Wage in price year of data source (without overhead)]]*INDEX(tbl_CPI[Index], MATCH(PriceYear, tbl_CPI[Year], 0))/INDEX(tbl_CPI[Index], MATCH(tbl_Wages[[#This Row],[Price year of data source]], tbl_CPI[Year], 0)), "")</f>
        <v>44.633841807909604</v>
      </c>
    </row>
    <row r="20" spans="2:7" x14ac:dyDescent="0.2">
      <c r="B20" s="115" t="str">
        <v/>
      </c>
      <c r="C20" s="121" t="str">
        <f>TEXT(ROW(C20)-ROW(tbl_Wages[[#Headers],[Number]]), "00")</f>
        <v>06</v>
      </c>
      <c r="D20" s="122" t="s">
        <v>174</v>
      </c>
      <c r="E20" s="82">
        <v>2021</v>
      </c>
      <c r="F20" s="80">
        <v>46.16</v>
      </c>
      <c r="G20" s="80">
        <f>IFERROR(tbl_Wages[[#This Row],[Wage in price year of data source (without overhead)]]*INDEX(tbl_CPI[Index], MATCH(PriceYear, tbl_CPI[Year], 0))/INDEX(tbl_CPI[Index], MATCH(tbl_Wages[[#This Row],[Price year of data source]], tbl_CPI[Year], 0)), "")</f>
        <v>52.451581920903955</v>
      </c>
    </row>
    <row r="21" spans="2:7" x14ac:dyDescent="0.2">
      <c r="B21" s="115" t="str">
        <v/>
      </c>
      <c r="C21" s="121" t="str">
        <f>TEXT(ROW(C21)-ROW(tbl_Wages[[#Headers],[Number]]), "00")</f>
        <v>07</v>
      </c>
      <c r="D21" s="122" t="s">
        <v>175</v>
      </c>
      <c r="E21" s="82">
        <v>2021</v>
      </c>
      <c r="F21" s="80">
        <v>29.87</v>
      </c>
      <c r="G21" s="80">
        <f>IFERROR(tbl_Wages[[#This Row],[Wage in price year of data source (without overhead)]]*INDEX(tbl_CPI[Index], MATCH(PriceYear, tbl_CPI[Year], 0))/INDEX(tbl_CPI[Index], MATCH(tbl_Wages[[#This Row],[Price year of data source]], tbl_CPI[Year], 0)), "")</f>
        <v>33.941264124293788</v>
      </c>
    </row>
    <row r="22" spans="2:7" x14ac:dyDescent="0.2">
      <c r="B22" s="115" t="str">
        <v/>
      </c>
      <c r="C22" s="121" t="str">
        <f>TEXT(ROW(C22)-ROW(tbl_Wages[[#Headers],[Number]]), "00")</f>
        <v>08</v>
      </c>
      <c r="D22" s="122" t="s">
        <v>176</v>
      </c>
      <c r="E22" s="82">
        <v>2021</v>
      </c>
      <c r="F22" s="80">
        <v>39.11</v>
      </c>
      <c r="G22" s="80">
        <f>IFERROR(tbl_Wages[[#This Row],[Wage in price year of data source (without overhead)]]*INDEX(tbl_CPI[Index], MATCH(PriceYear, tbl_CPI[Year], 0))/INDEX(tbl_CPI[Index], MATCH(tbl_Wages[[#This Row],[Price year of data source]], tbl_CPI[Year], 0)), "")</f>
        <v>44.440670903954803</v>
      </c>
    </row>
    <row r="23" spans="2:7" x14ac:dyDescent="0.2">
      <c r="B23" s="115" t="str">
        <v/>
      </c>
      <c r="C23" s="121" t="str">
        <f>TEXT(ROW(C23)-ROW(tbl_Wages[[#Headers],[Number]]), "00")</f>
        <v>09</v>
      </c>
      <c r="D23" s="122" t="s">
        <v>177</v>
      </c>
      <c r="E23" s="82">
        <v>2021</v>
      </c>
      <c r="F23" s="80">
        <v>28.89</v>
      </c>
      <c r="G23" s="80">
        <f>IFERROR(tbl_Wages[[#This Row],[Wage in price year of data source (without overhead)]]*INDEX(tbl_CPI[Index], MATCH(PriceYear, tbl_CPI[Year], 0))/INDEX(tbl_CPI[Index], MATCH(tbl_Wages[[#This Row],[Price year of data source]], tbl_CPI[Year], 0)), "")</f>
        <v>32.827690677966103</v>
      </c>
    </row>
    <row r="24" spans="2:7" x14ac:dyDescent="0.2">
      <c r="B24" s="115" t="str">
        <v/>
      </c>
      <c r="C24" s="121" t="str">
        <f>TEXT(ROW(C24)-ROW(tbl_Wages[[#Headers],[Number]]), "00")</f>
        <v>10</v>
      </c>
      <c r="D24" s="122" t="s">
        <v>178</v>
      </c>
      <c r="E24" s="82">
        <v>2021</v>
      </c>
      <c r="F24" s="80">
        <v>29.32</v>
      </c>
      <c r="G24" s="80">
        <f>IFERROR(tbl_Wages[[#This Row],[Wage in price year of data source (without overhead)]]*INDEX(tbl_CPI[Index], MATCH(PriceYear, tbl_CPI[Year], 0))/INDEX(tbl_CPI[Index], MATCH(tbl_Wages[[#This Row],[Price year of data source]], tbl_CPI[Year], 0)), "")</f>
        <v>33.316299435028256</v>
      </c>
    </row>
    <row r="25" spans="2:7" x14ac:dyDescent="0.2">
      <c r="B25" s="115" t="str">
        <v/>
      </c>
      <c r="C25" s="121" t="str">
        <f>TEXT(ROW(C25)-ROW(tbl_Wages[[#Headers],[Number]]), "00")</f>
        <v>11</v>
      </c>
      <c r="D25" s="122" t="s">
        <v>179</v>
      </c>
      <c r="E25" s="82">
        <v>2021</v>
      </c>
      <c r="F25" s="80">
        <v>23.37</v>
      </c>
      <c r="G25" s="80">
        <f>IFERROR(tbl_Wages[[#This Row],[Wage in price year of data source (without overhead)]]*INDEX(tbl_CPI[Index], MATCH(PriceYear, tbl_CPI[Year], 0))/INDEX(tbl_CPI[Index], MATCH(tbl_Wages[[#This Row],[Price year of data source]], tbl_CPI[Year], 0)), "")</f>
        <v>26.555317796610172</v>
      </c>
    </row>
    <row r="26" spans="2:7" x14ac:dyDescent="0.2">
      <c r="B26" s="115" t="str">
        <v/>
      </c>
      <c r="C26" s="121" t="str">
        <f>TEXT(ROW(C26)-ROW(tbl_Wages[[#Headers],[Number]]), "00")</f>
        <v>12</v>
      </c>
      <c r="D26" s="122" t="s">
        <v>180</v>
      </c>
      <c r="E26" s="82">
        <v>2021</v>
      </c>
      <c r="F26" s="80">
        <v>23.84</v>
      </c>
      <c r="G26" s="80">
        <f>IFERROR(tbl_Wages[[#This Row],[Wage in price year of data source (without overhead)]]*INDEX(tbl_CPI[Index], MATCH(PriceYear, tbl_CPI[Year], 0))/INDEX(tbl_CPI[Index], MATCH(tbl_Wages[[#This Row],[Price year of data source]], tbl_CPI[Year], 0)), "")</f>
        <v>27.08937853107345</v>
      </c>
    </row>
    <row r="27" spans="2:7" x14ac:dyDescent="0.2">
      <c r="B27" s="115" t="str">
        <v/>
      </c>
      <c r="C27" s="121" t="str">
        <f>TEXT(ROW(C27)-ROW(tbl_Wages[[#Headers],[Number]]), "00")</f>
        <v>13</v>
      </c>
      <c r="D27" s="122" t="s">
        <v>181</v>
      </c>
      <c r="E27" s="82">
        <v>2021</v>
      </c>
      <c r="F27" s="80">
        <v>39.99</v>
      </c>
      <c r="G27" s="80">
        <f>IFERROR(tbl_Wages[[#This Row],[Wage in price year of data source (without overhead)]]*INDEX(tbl_CPI[Index], MATCH(PriceYear, tbl_CPI[Year], 0))/INDEX(tbl_CPI[Index], MATCH(tbl_Wages[[#This Row],[Price year of data source]], tbl_CPI[Year], 0)), "")</f>
        <v>45.440614406779666</v>
      </c>
    </row>
    <row r="28" spans="2:7" x14ac:dyDescent="0.2">
      <c r="B28" s="115" t="str">
        <v/>
      </c>
      <c r="C28" s="121" t="str">
        <f>TEXT(ROW(C28)-ROW(tbl_Wages[[#Headers],[Number]]), "00")</f>
        <v>14</v>
      </c>
      <c r="D28" s="122" t="s">
        <v>182</v>
      </c>
      <c r="E28" s="82">
        <v>2021</v>
      </c>
      <c r="F28" s="80">
        <v>43.84</v>
      </c>
      <c r="G28" s="80">
        <f>IFERROR(tbl_Wages[[#This Row],[Wage in price year of data source (without overhead)]]*INDEX(tbl_CPI[Index], MATCH(PriceYear, tbl_CPI[Year], 0))/INDEX(tbl_CPI[Index], MATCH(tbl_Wages[[#This Row],[Price year of data source]], tbl_CPI[Year], 0)), "")</f>
        <v>49.815367231638426</v>
      </c>
    </row>
    <row r="29" spans="2:7" x14ac:dyDescent="0.2">
      <c r="B29" s="115" t="str">
        <v/>
      </c>
      <c r="C29" s="121" t="str">
        <f>TEXT(ROW(C29)-ROW(tbl_Wages[[#Headers],[Number]]), "00")</f>
        <v>15</v>
      </c>
      <c r="D29" s="122" t="s">
        <v>183</v>
      </c>
      <c r="E29" s="82">
        <v>2021</v>
      </c>
      <c r="F29" s="80">
        <v>33.28</v>
      </c>
      <c r="G29" s="80">
        <f>IFERROR(tbl_Wages[[#This Row],[Wage in price year of data source (without overhead)]]*INDEX(tbl_CPI[Index], MATCH(PriceYear, tbl_CPI[Year], 0))/INDEX(tbl_CPI[Index], MATCH(tbl_Wages[[#This Row],[Price year of data source]], tbl_CPI[Year], 0)), "")</f>
        <v>37.816045197740117</v>
      </c>
    </row>
    <row r="30" spans="2:7" x14ac:dyDescent="0.2">
      <c r="B30" s="115" t="str">
        <v/>
      </c>
      <c r="C30" s="121" t="str">
        <f>TEXT(ROW(C30)-ROW(tbl_Wages[[#Headers],[Number]]), "00")</f>
        <v>16</v>
      </c>
      <c r="D30" s="122" t="s">
        <v>184</v>
      </c>
      <c r="E30" s="82">
        <v>2021</v>
      </c>
      <c r="F30" s="80">
        <v>31.85</v>
      </c>
      <c r="G30" s="80">
        <f>IFERROR(tbl_Wages[[#This Row],[Wage in price year of data source (without overhead)]]*INDEX(tbl_CPI[Index], MATCH(PriceYear, tbl_CPI[Year], 0))/INDEX(tbl_CPI[Index], MATCH(tbl_Wages[[#This Row],[Price year of data source]], tbl_CPI[Year], 0)), "")</f>
        <v>36.191137005649722</v>
      </c>
    </row>
    <row r="31" spans="2:7" x14ac:dyDescent="0.2">
      <c r="B31" s="115" t="str">
        <v/>
      </c>
      <c r="C31" s="121" t="str">
        <f>TEXT(ROW(C31)-ROW(tbl_Wages[[#Headers],[Number]]), "00")</f>
        <v>17</v>
      </c>
      <c r="D31" s="122" t="s">
        <v>185</v>
      </c>
      <c r="E31" s="82">
        <v>2021</v>
      </c>
      <c r="F31" s="80">
        <v>39.590000000000003</v>
      </c>
      <c r="G31" s="80">
        <f>IFERROR(tbl_Wages[[#This Row],[Wage in price year of data source (without overhead)]]*INDEX(tbl_CPI[Index], MATCH(PriceYear, tbl_CPI[Year], 0))/INDEX(tbl_CPI[Index], MATCH(tbl_Wages[[#This Row],[Price year of data source]], tbl_CPI[Year], 0)), "")</f>
        <v>44.986094632768371</v>
      </c>
    </row>
    <row r="32" spans="2:7" x14ac:dyDescent="0.2">
      <c r="B32" s="115" t="str">
        <v/>
      </c>
      <c r="C32" s="121" t="str">
        <f>TEXT(ROW(C32)-ROW(tbl_Wages[[#Headers],[Number]]), "00")</f>
        <v>18</v>
      </c>
      <c r="D32" s="122" t="s">
        <v>186</v>
      </c>
      <c r="E32" s="82">
        <v>2021</v>
      </c>
      <c r="F32" s="80">
        <v>41.61</v>
      </c>
      <c r="G32" s="80">
        <f>IFERROR(tbl_Wages[[#This Row],[Wage in price year of data source (without overhead)]]*INDEX(tbl_CPI[Index], MATCH(PriceYear, tbl_CPI[Year], 0))/INDEX(tbl_CPI[Index], MATCH(tbl_Wages[[#This Row],[Price year of data source]], tbl_CPI[Year], 0)), "")</f>
        <v>47.281419491525426</v>
      </c>
    </row>
    <row r="33" spans="2:7" x14ac:dyDescent="0.2">
      <c r="B33" s="115" t="str">
        <v/>
      </c>
      <c r="C33" s="121" t="str">
        <f>TEXT(ROW(C33)-ROW(tbl_Wages[[#Headers],[Number]]), "00")</f>
        <v>19</v>
      </c>
      <c r="D33" s="122" t="s">
        <v>187</v>
      </c>
      <c r="E33" s="82">
        <v>2021</v>
      </c>
      <c r="F33" s="80">
        <v>29.79</v>
      </c>
      <c r="G33" s="80">
        <f>IFERROR(tbl_Wages[[#This Row],[Wage in price year of data source (without overhead)]]*INDEX(tbl_CPI[Index], MATCH(PriceYear, tbl_CPI[Year], 0))/INDEX(tbl_CPI[Index], MATCH(tbl_Wages[[#This Row],[Price year of data source]], tbl_CPI[Year], 0)), "")</f>
        <v>33.85036016949153</v>
      </c>
    </row>
    <row r="34" spans="2:7" x14ac:dyDescent="0.2">
      <c r="B34" s="115" t="str">
        <v/>
      </c>
      <c r="C34" s="121" t="str">
        <f>TEXT(ROW(C34)-ROW(tbl_Wages[[#Headers],[Number]]), "00")</f>
        <v>20</v>
      </c>
      <c r="D34" s="122" t="s">
        <v>188</v>
      </c>
      <c r="E34" s="82">
        <v>2021</v>
      </c>
      <c r="F34" s="80">
        <v>22.16</v>
      </c>
      <c r="G34" s="80">
        <f>IFERROR(tbl_Wages[[#This Row],[Wage in price year of data source (without overhead)]]*INDEX(tbl_CPI[Index], MATCH(PriceYear, tbl_CPI[Year], 0))/INDEX(tbl_CPI[Index], MATCH(tbl_Wages[[#This Row],[Price year of data source]], tbl_CPI[Year], 0)), "")</f>
        <v>25.180395480225993</v>
      </c>
    </row>
    <row r="35" spans="2:7" x14ac:dyDescent="0.2">
      <c r="B35" s="115" t="str">
        <v/>
      </c>
      <c r="C35" s="121" t="str">
        <f>TEXT(ROW(C35)-ROW(tbl_Wages[[#Headers],[Number]]), "00")</f>
        <v>21</v>
      </c>
      <c r="D35" s="122" t="s">
        <v>189</v>
      </c>
      <c r="E35" s="82">
        <v>2021</v>
      </c>
      <c r="F35" s="80">
        <v>35.36</v>
      </c>
      <c r="G35" s="80">
        <f>IFERROR(tbl_Wages[[#This Row],[Wage in price year of data source (without overhead)]]*INDEX(tbl_CPI[Index], MATCH(PriceYear, tbl_CPI[Year], 0))/INDEX(tbl_CPI[Index], MATCH(tbl_Wages[[#This Row],[Price year of data source]], tbl_CPI[Year], 0)), "")</f>
        <v>40.179548022598873</v>
      </c>
    </row>
    <row r="36" spans="2:7" x14ac:dyDescent="0.2">
      <c r="B36" s="115" t="str">
        <v/>
      </c>
      <c r="C36" s="121" t="str">
        <f>TEXT(ROW(C36)-ROW(tbl_Wages[[#Headers],[Number]]), "00")</f>
        <v>22</v>
      </c>
      <c r="D36" s="122" t="s">
        <v>190</v>
      </c>
      <c r="E36" s="82">
        <v>2021</v>
      </c>
      <c r="F36" s="80">
        <v>39.97</v>
      </c>
      <c r="G36" s="80">
        <f>IFERROR(tbl_Wages[[#This Row],[Wage in price year of data source (without overhead)]]*INDEX(tbl_CPI[Index], MATCH(PriceYear, tbl_CPI[Year], 0))/INDEX(tbl_CPI[Index], MATCH(tbl_Wages[[#This Row],[Price year of data source]], tbl_CPI[Year], 0)), "")</f>
        <v>45.417888418079094</v>
      </c>
    </row>
    <row r="37" spans="2:7" x14ac:dyDescent="0.2">
      <c r="B37" s="115" t="str">
        <v/>
      </c>
      <c r="C37" s="121" t="str">
        <f>TEXT(ROW(C37)-ROW(tbl_Wages[[#Headers],[Number]]), "00")</f>
        <v>23</v>
      </c>
      <c r="D37" s="122" t="s">
        <v>191</v>
      </c>
      <c r="E37" s="82">
        <v>2021</v>
      </c>
      <c r="F37" s="80">
        <v>40.03</v>
      </c>
      <c r="G37" s="80">
        <f>IFERROR(tbl_Wages[[#This Row],[Wage in price year of data source (without overhead)]]*INDEX(tbl_CPI[Index], MATCH(PriceYear, tbl_CPI[Year], 0))/INDEX(tbl_CPI[Index], MATCH(tbl_Wages[[#This Row],[Price year of data source]], tbl_CPI[Year], 0)), "")</f>
        <v>45.486066384180795</v>
      </c>
    </row>
    <row r="38" spans="2:7" x14ac:dyDescent="0.2">
      <c r="B38" s="115" t="str">
        <v/>
      </c>
      <c r="C38" s="121" t="str">
        <f>TEXT(ROW(C38)-ROW(tbl_Wages[[#Headers],[Number]]), "00")</f>
        <v>24</v>
      </c>
      <c r="D38" s="122" t="s">
        <v>192</v>
      </c>
      <c r="E38" s="82">
        <v>2021</v>
      </c>
      <c r="F38" s="80">
        <v>23.9</v>
      </c>
      <c r="G38" s="80">
        <f>IFERROR(tbl_Wages[[#This Row],[Wage in price year of data source (without overhead)]]*INDEX(tbl_CPI[Index], MATCH(PriceYear, tbl_CPI[Year], 0))/INDEX(tbl_CPI[Index], MATCH(tbl_Wages[[#This Row],[Price year of data source]], tbl_CPI[Year], 0)), "")</f>
        <v>27.15755649717514</v>
      </c>
    </row>
    <row r="39" spans="2:7" x14ac:dyDescent="0.2">
      <c r="B39" s="115" t="str">
        <v/>
      </c>
      <c r="C39" s="121" t="str">
        <f>TEXT(ROW(C39)-ROW(tbl_Wages[[#Headers],[Number]]), "00")</f>
        <v>25</v>
      </c>
      <c r="D39" s="122" t="s">
        <v>193</v>
      </c>
      <c r="E39" s="82">
        <v>2021</v>
      </c>
      <c r="F39" s="80">
        <v>44.35</v>
      </c>
      <c r="G39" s="80">
        <f>IFERROR(tbl_Wages[[#This Row],[Wage in price year of data source (without overhead)]]*INDEX(tbl_CPI[Index], MATCH(PriceYear, tbl_CPI[Year], 0))/INDEX(tbl_CPI[Index], MATCH(tbl_Wages[[#This Row],[Price year of data source]], tbl_CPI[Year], 0)), "")</f>
        <v>50.394879943502836</v>
      </c>
    </row>
    <row r="40" spans="2:7" x14ac:dyDescent="0.2">
      <c r="B40" s="115" t="str">
        <v/>
      </c>
      <c r="C40" s="121" t="str">
        <f>TEXT(ROW(C40)-ROW(tbl_Wages[[#Headers],[Number]]), "00")</f>
        <v>26</v>
      </c>
      <c r="D40" s="122" t="s">
        <v>194</v>
      </c>
      <c r="E40" s="82">
        <v>2021</v>
      </c>
      <c r="F40" s="80">
        <v>23.86</v>
      </c>
      <c r="G40" s="80">
        <f>IFERROR(tbl_Wages[[#This Row],[Wage in price year of data source (without overhead)]]*INDEX(tbl_CPI[Index], MATCH(PriceYear, tbl_CPI[Year], 0))/INDEX(tbl_CPI[Index], MATCH(tbl_Wages[[#This Row],[Price year of data source]], tbl_CPI[Year], 0)), "")</f>
        <v>27.112104519774014</v>
      </c>
    </row>
    <row r="41" spans="2:7" x14ac:dyDescent="0.2">
      <c r="B41" s="115" t="str">
        <v/>
      </c>
      <c r="C41" s="121" t="str">
        <f>TEXT(ROW(C41)-ROW(tbl_Wages[[#Headers],[Number]]), "00")</f>
        <v>27</v>
      </c>
      <c r="D41" s="122" t="s">
        <v>195</v>
      </c>
      <c r="E41" s="82">
        <v>2021</v>
      </c>
      <c r="F41" s="80">
        <v>28.38</v>
      </c>
      <c r="G41" s="80">
        <f>IFERROR(tbl_Wages[[#This Row],[Wage in price year of data source (without overhead)]]*INDEX(tbl_CPI[Index], MATCH(PriceYear, tbl_CPI[Year], 0))/INDEX(tbl_CPI[Index], MATCH(tbl_Wages[[#This Row],[Price year of data source]], tbl_CPI[Year], 0)), "")</f>
        <v>32.248177966101693</v>
      </c>
    </row>
    <row r="42" spans="2:7" x14ac:dyDescent="0.2">
      <c r="B42" s="115" t="str">
        <v/>
      </c>
      <c r="C42" s="121" t="str">
        <f>TEXT(ROW(C42)-ROW(tbl_Wages[[#Headers],[Number]]), "00")</f>
        <v>28</v>
      </c>
      <c r="D42" s="122" t="s">
        <v>196</v>
      </c>
      <c r="E42" s="82">
        <v>2021</v>
      </c>
      <c r="F42" s="80">
        <v>32.799999999999997</v>
      </c>
      <c r="G42" s="80">
        <f>IFERROR(tbl_Wages[[#This Row],[Wage in price year of data source (without overhead)]]*INDEX(tbl_CPI[Index], MATCH(PriceYear, tbl_CPI[Year], 0))/INDEX(tbl_CPI[Index], MATCH(tbl_Wages[[#This Row],[Price year of data source]], tbl_CPI[Year], 0)), "")</f>
        <v>37.270621468926549</v>
      </c>
    </row>
    <row r="43" spans="2:7" x14ac:dyDescent="0.2">
      <c r="B43" s="115" t="str">
        <v/>
      </c>
      <c r="C43" s="121" t="str">
        <f>TEXT(ROW(C43)-ROW(tbl_Wages[[#Headers],[Number]]), "00")</f>
        <v>29</v>
      </c>
      <c r="D43" s="122" t="s">
        <v>197</v>
      </c>
      <c r="E43" s="82">
        <v>2021</v>
      </c>
      <c r="F43" s="80">
        <v>26.58</v>
      </c>
      <c r="G43" s="80">
        <f>IFERROR(tbl_Wages[[#This Row],[Wage in price year of data source (without overhead)]]*INDEX(tbl_CPI[Index], MATCH(PriceYear, tbl_CPI[Year], 0))/INDEX(tbl_CPI[Index], MATCH(tbl_Wages[[#This Row],[Price year of data source]], tbl_CPI[Year], 0)), "")</f>
        <v>30.202838983050846</v>
      </c>
    </row>
    <row r="44" spans="2:7" x14ac:dyDescent="0.2">
      <c r="B44" s="115" t="str">
        <v/>
      </c>
      <c r="C44" s="121" t="str">
        <f>TEXT(ROW(C44)-ROW(tbl_Wages[[#Headers],[Number]]), "00")</f>
        <v>30</v>
      </c>
      <c r="D44" s="122" t="s">
        <v>198</v>
      </c>
      <c r="E44" s="82">
        <v>2021</v>
      </c>
      <c r="F44" s="80">
        <v>19.55</v>
      </c>
      <c r="G44" s="80">
        <f>IFERROR(tbl_Wages[[#This Row],[Wage in price year of data source (without overhead)]]*INDEX(tbl_CPI[Index], MATCH(PriceYear, tbl_CPI[Year], 0))/INDEX(tbl_CPI[Index], MATCH(tbl_Wages[[#This Row],[Price year of data source]], tbl_CPI[Year], 0)), "")</f>
        <v>22.214653954802262</v>
      </c>
    </row>
    <row r="45" spans="2:7" x14ac:dyDescent="0.2">
      <c r="B45" s="115" t="str">
        <v/>
      </c>
      <c r="C45" s="121" t="str">
        <f>TEXT(ROW(C45)-ROW(tbl_Wages[[#Headers],[Number]]), "00")</f>
        <v>31</v>
      </c>
      <c r="D45" s="122" t="s">
        <v>199</v>
      </c>
      <c r="E45" s="82">
        <v>2021</v>
      </c>
      <c r="F45" s="80">
        <v>25.49</v>
      </c>
      <c r="G45" s="80">
        <f>IFERROR(tbl_Wages[[#This Row],[Wage in price year of data source (without overhead)]]*INDEX(tbl_CPI[Index], MATCH(PriceYear, tbl_CPI[Year], 0))/INDEX(tbl_CPI[Index], MATCH(tbl_Wages[[#This Row],[Price year of data source]], tbl_CPI[Year], 0)), "")</f>
        <v>28.964272598870053</v>
      </c>
    </row>
    <row r="46" spans="2:7" x14ac:dyDescent="0.2">
      <c r="B46" s="115" t="str">
        <v/>
      </c>
      <c r="C46" s="121" t="str">
        <f>TEXT(ROW(C46)-ROW(tbl_Wages[[#Headers],[Number]]), "00")</f>
        <v>32</v>
      </c>
      <c r="D46" s="122" t="s">
        <v>200</v>
      </c>
      <c r="E46" s="82">
        <v>2021</v>
      </c>
      <c r="F46" s="80">
        <v>19.84</v>
      </c>
      <c r="G46" s="80">
        <f>IFERROR(tbl_Wages[[#This Row],[Wage in price year of data source (without overhead)]]*INDEX(tbl_CPI[Index], MATCH(PriceYear, tbl_CPI[Year], 0))/INDEX(tbl_CPI[Index], MATCH(tbl_Wages[[#This Row],[Price year of data source]], tbl_CPI[Year], 0)), "")</f>
        <v>22.544180790960453</v>
      </c>
    </row>
    <row r="47" spans="2:7" x14ac:dyDescent="0.2">
      <c r="B47" s="115" t="str">
        <v/>
      </c>
      <c r="C47" s="121" t="str">
        <f>TEXT(ROW(C47)-ROW(tbl_Wages[[#Headers],[Number]]), "00")</f>
        <v>33</v>
      </c>
      <c r="D47" s="122" t="s">
        <v>201</v>
      </c>
      <c r="E47" s="82">
        <v>2021</v>
      </c>
      <c r="F47" s="80">
        <v>20.440000000000001</v>
      </c>
      <c r="G47" s="80">
        <f>IFERROR(tbl_Wages[[#This Row],[Wage in price year of data source (without overhead)]]*INDEX(tbl_CPI[Index], MATCH(PriceYear, tbl_CPI[Year], 0))/INDEX(tbl_CPI[Index], MATCH(tbl_Wages[[#This Row],[Price year of data source]], tbl_CPI[Year], 0)), "")</f>
        <v>23.225960451977404</v>
      </c>
    </row>
    <row r="48" spans="2:7" x14ac:dyDescent="0.2">
      <c r="B48" s="115" t="str">
        <v/>
      </c>
      <c r="C48" s="121" t="str">
        <f>TEXT(ROW(C48)-ROW(tbl_Wages[[#Headers],[Number]]), "00")</f>
        <v>34</v>
      </c>
      <c r="D48" s="122" t="s">
        <v>202</v>
      </c>
      <c r="E48" s="82">
        <v>2021</v>
      </c>
      <c r="F48" s="80">
        <v>19.670000000000002</v>
      </c>
      <c r="G48" s="80">
        <f>IFERROR(tbl_Wages[[#This Row],[Wage in price year of data source (without overhead)]]*INDEX(tbl_CPI[Index], MATCH(PriceYear, tbl_CPI[Year], 0))/INDEX(tbl_CPI[Index], MATCH(tbl_Wages[[#This Row],[Price year of data source]], tbl_CPI[Year], 0)), "")</f>
        <v>22.351009887005652</v>
      </c>
    </row>
    <row r="49" spans="2:9" x14ac:dyDescent="0.2">
      <c r="B49" s="115" t="str">
        <v/>
      </c>
      <c r="C49" s="121" t="str">
        <f>TEXT(ROW(C49)-ROW(tbl_Wages[[#Headers],[Number]]), "00")</f>
        <v>35</v>
      </c>
      <c r="D49" s="122" t="s">
        <v>203</v>
      </c>
      <c r="E49" s="82">
        <v>2021</v>
      </c>
      <c r="F49" s="80">
        <v>15.45</v>
      </c>
      <c r="G49" s="80">
        <f>IFERROR(tbl_Wages[[#This Row],[Wage in price year of data source (without overhead)]]*INDEX(tbl_CPI[Index], MATCH(PriceYear, tbl_CPI[Year], 0))/INDEX(tbl_CPI[Index], MATCH(tbl_Wages[[#This Row],[Price year of data source]], tbl_CPI[Year], 0)), "")</f>
        <v>17.555826271186444</v>
      </c>
    </row>
    <row r="50" spans="2:9" x14ac:dyDescent="0.2">
      <c r="B50" s="115" t="str">
        <v/>
      </c>
      <c r="C50" s="121" t="str">
        <f>TEXT(ROW(C50)-ROW(tbl_Wages[[#Headers],[Number]]), "00")</f>
        <v>36</v>
      </c>
      <c r="D50" s="122" t="s">
        <v>204</v>
      </c>
      <c r="E50" s="82">
        <v>2021</v>
      </c>
      <c r="F50" s="80">
        <v>17.54</v>
      </c>
      <c r="G50" s="80">
        <f>IFERROR(tbl_Wages[[#This Row],[Wage in price year of data source (without overhead)]]*INDEX(tbl_CPI[Index], MATCH(PriceYear, tbl_CPI[Year], 0))/INDEX(tbl_CPI[Index], MATCH(tbl_Wages[[#This Row],[Price year of data source]], tbl_CPI[Year], 0)), "")</f>
        <v>19.930692090395482</v>
      </c>
    </row>
    <row r="51" spans="2:9" x14ac:dyDescent="0.2">
      <c r="B51" s="115" t="str">
        <v/>
      </c>
      <c r="C51" s="121" t="str">
        <f>TEXT(ROW(C51)-ROW(tbl_Wages[[#Headers],[Number]]), "00")</f>
        <v>37</v>
      </c>
      <c r="D51" s="122" t="s">
        <v>205</v>
      </c>
      <c r="E51" s="82">
        <v>2021</v>
      </c>
      <c r="F51" s="80">
        <v>28.67</v>
      </c>
      <c r="G51" s="80">
        <f>IFERROR(tbl_Wages[[#This Row],[Wage in price year of data source (without overhead)]]*INDEX(tbl_CPI[Index], MATCH(PriceYear, tbl_CPI[Year], 0))/INDEX(tbl_CPI[Index], MATCH(tbl_Wages[[#This Row],[Price year of data source]], tbl_CPI[Year], 0)), "")</f>
        <v>32.577704802259895</v>
      </c>
    </row>
    <row r="52" spans="2:9" x14ac:dyDescent="0.2">
      <c r="B52" s="115" t="str">
        <v/>
      </c>
      <c r="C52" s="121" t="str">
        <f>TEXT(ROW(C52)-ROW(tbl_Wages[[#Headers],[Number]]), "00")</f>
        <v>38</v>
      </c>
      <c r="D52" s="122" t="s">
        <v>206</v>
      </c>
      <c r="E52" s="82">
        <v>2021</v>
      </c>
      <c r="F52" s="80">
        <v>32.07</v>
      </c>
      <c r="G52" s="80">
        <f>IFERROR(tbl_Wages[[#This Row],[Wage in price year of data source (without overhead)]]*INDEX(tbl_CPI[Index], MATCH(PriceYear, tbl_CPI[Year], 0))/INDEX(tbl_CPI[Index], MATCH(tbl_Wages[[#This Row],[Price year of data source]], tbl_CPI[Year], 0)), "")</f>
        <v>36.441122881355938</v>
      </c>
    </row>
    <row r="53" spans="2:9" x14ac:dyDescent="0.2">
      <c r="B53" s="115" t="str">
        <v/>
      </c>
      <c r="C53" s="121" t="str">
        <f>TEXT(ROW(C53)-ROW(tbl_Wages[[#Headers],[Number]]), "00")</f>
        <v>39</v>
      </c>
      <c r="D53" s="122" t="s">
        <v>207</v>
      </c>
      <c r="E53" s="82">
        <v>2021</v>
      </c>
      <c r="F53" s="80">
        <v>32.549999999999997</v>
      </c>
      <c r="G53" s="80">
        <f>IFERROR(tbl_Wages[[#This Row],[Wage in price year of data source (without overhead)]]*INDEX(tbl_CPI[Index], MATCH(PriceYear, tbl_CPI[Year], 0))/INDEX(tbl_CPI[Index], MATCH(tbl_Wages[[#This Row],[Price year of data source]], tbl_CPI[Year], 0)), "")</f>
        <v>36.986546610169491</v>
      </c>
    </row>
    <row r="54" spans="2:9" x14ac:dyDescent="0.2">
      <c r="B54" s="115" t="str">
        <v/>
      </c>
      <c r="C54" s="121" t="str">
        <f>TEXT(ROW(C54)-ROW(tbl_Wages[[#Headers],[Number]]), "00")</f>
        <v>40</v>
      </c>
      <c r="D54" s="122" t="s">
        <v>208</v>
      </c>
      <c r="E54" s="82">
        <v>2021</v>
      </c>
      <c r="F54" s="80">
        <v>22.13</v>
      </c>
      <c r="G54" s="80">
        <f>IFERROR(tbl_Wages[[#This Row],[Wage in price year of data source (without overhead)]]*INDEX(tbl_CPI[Index], MATCH(PriceYear, tbl_CPI[Year], 0))/INDEX(tbl_CPI[Index], MATCH(tbl_Wages[[#This Row],[Price year of data source]], tbl_CPI[Year], 0)), "")</f>
        <v>25.146306497175143</v>
      </c>
    </row>
    <row r="55" spans="2:9" x14ac:dyDescent="0.2">
      <c r="B55" s="115" t="str">
        <v/>
      </c>
      <c r="C55" s="121" t="str">
        <f>TEXT(ROW(C55)-ROW(tbl_Wages[[#Headers],[Number]]), "00")</f>
        <v>41</v>
      </c>
      <c r="D55" s="122" t="s">
        <v>209</v>
      </c>
      <c r="E55" s="82">
        <v>2021</v>
      </c>
      <c r="F55" s="80">
        <v>24.95</v>
      </c>
      <c r="G55" s="80">
        <f>IFERROR(tbl_Wages[[#This Row],[Wage in price year of data source (without overhead)]]*INDEX(tbl_CPI[Index], MATCH(PriceYear, tbl_CPI[Year], 0))/INDEX(tbl_CPI[Index], MATCH(tbl_Wages[[#This Row],[Price year of data source]], tbl_CPI[Year], 0)), "")</f>
        <v>28.350670903954803</v>
      </c>
    </row>
    <row r="56" spans="2:9" x14ac:dyDescent="0.2">
      <c r="B56" s="115" t="str">
        <v/>
      </c>
      <c r="C56" s="121" t="str">
        <f>TEXT(ROW(C56)-ROW(tbl_Wages[[#Headers],[Number]]), "00")</f>
        <v>42</v>
      </c>
      <c r="D56" s="122" t="s">
        <v>210</v>
      </c>
      <c r="E56" s="82">
        <v>2021</v>
      </c>
      <c r="F56" s="80">
        <v>24.09</v>
      </c>
      <c r="G56" s="80">
        <f>IFERROR(tbl_Wages[[#This Row],[Wage in price year of data source (without overhead)]]*INDEX(tbl_CPI[Index], MATCH(PriceYear, tbl_CPI[Year], 0))/INDEX(tbl_CPI[Index], MATCH(tbl_Wages[[#This Row],[Price year of data source]], tbl_CPI[Year], 0)), "")</f>
        <v>27.373453389830509</v>
      </c>
    </row>
    <row r="57" spans="2:9" x14ac:dyDescent="0.2">
      <c r="B57" s="115" t="str">
        <v/>
      </c>
      <c r="C57" s="121" t="str">
        <f>TEXT(ROW(C57)-ROW(tbl_Wages[[#Headers],[Number]]), "00")</f>
        <v>43</v>
      </c>
      <c r="D57" s="122" t="s">
        <v>211</v>
      </c>
      <c r="E57" s="82">
        <v>2021</v>
      </c>
      <c r="F57" s="80">
        <v>25.98</v>
      </c>
      <c r="G57" s="80">
        <f>IFERROR(tbl_Wages[[#This Row],[Wage in price year of data source (without overhead)]]*INDEX(tbl_CPI[Index], MATCH(PriceYear, tbl_CPI[Year], 0))/INDEX(tbl_CPI[Index], MATCH(tbl_Wages[[#This Row],[Price year of data source]], tbl_CPI[Year], 0)), "")</f>
        <v>29.521059322033899</v>
      </c>
      <c r="I57" s="133"/>
    </row>
    <row r="58" spans="2:9" x14ac:dyDescent="0.2">
      <c r="B58" s="115" t="str">
        <v/>
      </c>
      <c r="C58" s="121" t="str">
        <f>TEXT(ROW(C58)-ROW(tbl_Wages[[#Headers],[Number]]), "00")</f>
        <v>44</v>
      </c>
      <c r="D58" s="122" t="s">
        <v>212</v>
      </c>
      <c r="E58" s="82">
        <v>2021</v>
      </c>
      <c r="F58" s="80">
        <v>35.32</v>
      </c>
      <c r="G58" s="80">
        <f>IFERROR(tbl_Wages[[#This Row],[Wage in price year of data source (without overhead)]]*INDEX(tbl_CPI[Index], MATCH(PriceYear, tbl_CPI[Year], 0))/INDEX(tbl_CPI[Index], MATCH(tbl_Wages[[#This Row],[Price year of data source]], tbl_CPI[Year], 0)), "")</f>
        <v>40.134096045197744</v>
      </c>
    </row>
    <row r="59" spans="2:9" x14ac:dyDescent="0.2">
      <c r="B59" s="115" t="str">
        <v/>
      </c>
      <c r="C59" s="121" t="str">
        <f>TEXT(ROW(C59)-ROW(tbl_Wages[[#Headers],[Number]]), "00")</f>
        <v>45</v>
      </c>
      <c r="D59" s="122" t="s">
        <v>213</v>
      </c>
      <c r="E59" s="82">
        <v>2021</v>
      </c>
      <c r="F59" s="80">
        <v>20.99</v>
      </c>
      <c r="G59" s="80">
        <f>IFERROR(tbl_Wages[[#This Row],[Wage in price year of data source (without overhead)]]*INDEX(tbl_CPI[Index], MATCH(PriceYear, tbl_CPI[Year], 0))/INDEX(tbl_CPI[Index], MATCH(tbl_Wages[[#This Row],[Price year of data source]], tbl_CPI[Year], 0)), "")</f>
        <v>23.850925141242936</v>
      </c>
    </row>
    <row r="60" spans="2:9" x14ac:dyDescent="0.2">
      <c r="B60" s="115" t="str">
        <v/>
      </c>
      <c r="C60" s="121" t="str">
        <f>TEXT(ROW(C60)-ROW(tbl_Wages[[#Headers],[Number]]), "00")</f>
        <v>46</v>
      </c>
      <c r="D60" s="122" t="s">
        <v>214</v>
      </c>
      <c r="E60" s="82">
        <v>2021</v>
      </c>
      <c r="F60" s="80">
        <v>21.16</v>
      </c>
      <c r="G60" s="80">
        <f>IFERROR(tbl_Wages[[#This Row],[Wage in price year of data source (without overhead)]]*INDEX(tbl_CPI[Index], MATCH(PriceYear, tbl_CPI[Year], 0))/INDEX(tbl_CPI[Index], MATCH(tbl_Wages[[#This Row],[Price year of data source]], tbl_CPI[Year], 0)), "")</f>
        <v>24.044096045197744</v>
      </c>
    </row>
    <row r="61" spans="2:9" x14ac:dyDescent="0.2">
      <c r="B61" s="115" t="str">
        <v/>
      </c>
      <c r="C61" s="121" t="str">
        <f>TEXT(ROW(C61)-ROW(tbl_Wages[[#Headers],[Number]]), "00")</f>
        <v>47</v>
      </c>
      <c r="D61" s="122" t="s">
        <v>215</v>
      </c>
      <c r="E61" s="82">
        <v>2021</v>
      </c>
      <c r="F61" s="80">
        <v>24.85</v>
      </c>
      <c r="G61" s="80">
        <f>IFERROR(tbl_Wages[[#This Row],[Wage in price year of data source (without overhead)]]*INDEX(tbl_CPI[Index], MATCH(PriceYear, tbl_CPI[Year], 0))/INDEX(tbl_CPI[Index], MATCH(tbl_Wages[[#This Row],[Price year of data source]], tbl_CPI[Year], 0)), "")</f>
        <v>28.237040960451981</v>
      </c>
    </row>
    <row r="62" spans="2:9" x14ac:dyDescent="0.2">
      <c r="B62" s="115" t="str">
        <v/>
      </c>
      <c r="C62" s="121" t="str">
        <f>TEXT(ROW(C62)-ROW(tbl_Wages[[#Headers],[Number]]), "00")</f>
        <v>48</v>
      </c>
      <c r="D62" s="122" t="s">
        <v>216</v>
      </c>
      <c r="E62" s="82">
        <v>2021</v>
      </c>
      <c r="F62" s="80">
        <v>35.049999999999997</v>
      </c>
      <c r="G62" s="80">
        <f>IFERROR(tbl_Wages[[#This Row],[Wage in price year of data source (without overhead)]]*INDEX(tbl_CPI[Index], MATCH(PriceYear, tbl_CPI[Year], 0))/INDEX(tbl_CPI[Index], MATCH(tbl_Wages[[#This Row],[Price year of data source]], tbl_CPI[Year], 0)), "")</f>
        <v>39.827295197740114</v>
      </c>
    </row>
    <row r="63" spans="2:9" x14ac:dyDescent="0.2">
      <c r="B63" s="115" t="str">
        <v/>
      </c>
      <c r="C63" s="121" t="str">
        <f>TEXT(ROW(C63)-ROW(tbl_Wages[[#Headers],[Number]]), "00")</f>
        <v>49</v>
      </c>
      <c r="D63" s="122" t="s">
        <v>217</v>
      </c>
      <c r="E63" s="82">
        <v>2021</v>
      </c>
      <c r="F63" s="80">
        <v>22.37</v>
      </c>
      <c r="G63" s="80">
        <f>IFERROR(tbl_Wages[[#This Row],[Wage in price year of data source (without overhead)]]*INDEX(tbl_CPI[Index], MATCH(PriceYear, tbl_CPI[Year], 0))/INDEX(tbl_CPI[Index], MATCH(tbl_Wages[[#This Row],[Price year of data source]], tbl_CPI[Year], 0)), "")</f>
        <v>25.419018361581923</v>
      </c>
    </row>
    <row r="64" spans="2:9" x14ac:dyDescent="0.2">
      <c r="B64" s="115" t="str">
        <v/>
      </c>
      <c r="C64" s="121" t="str">
        <f>TEXT(ROW(C64)-ROW(tbl_Wages[[#Headers],[Number]]), "00")</f>
        <v>50</v>
      </c>
      <c r="D64" s="122" t="s">
        <v>218</v>
      </c>
      <c r="E64" s="82">
        <v>2021</v>
      </c>
      <c r="F64" s="80">
        <v>22.94</v>
      </c>
      <c r="G64" s="80">
        <f>IFERROR(tbl_Wages[[#This Row],[Wage in price year of data source (without overhead)]]*INDEX(tbl_CPI[Index], MATCH(PriceYear, tbl_CPI[Year], 0))/INDEX(tbl_CPI[Index], MATCH(tbl_Wages[[#This Row],[Price year of data source]], tbl_CPI[Year], 0)), "")</f>
        <v>26.066709039548027</v>
      </c>
    </row>
    <row r="65" spans="2:8" x14ac:dyDescent="0.2">
      <c r="B65" s="115" t="str">
        <v/>
      </c>
      <c r="C65" s="121" t="str">
        <f>TEXT(ROW(C65)-ROW(tbl_Wages[[#Headers],[Number]]), "00")</f>
        <v>51</v>
      </c>
      <c r="D65" s="123" t="s">
        <v>219</v>
      </c>
      <c r="E65" s="82">
        <v>2021</v>
      </c>
      <c r="F65" s="80">
        <v>19.61</v>
      </c>
      <c r="G65" s="81">
        <f>IFERROR(tbl_Wages[[#This Row],[Wage in price year of data source (without overhead)]]*INDEX(tbl_CPI[Index], MATCH(PriceYear, tbl_CPI[Year], 0))/INDEX(tbl_CPI[Index], MATCH(tbl_Wages[[#This Row],[Price year of data source]], tbl_CPI[Year], 0)), "")</f>
        <v>22.282831920903956</v>
      </c>
      <c r="H65" s="134"/>
    </row>
    <row r="66" spans="2:8" x14ac:dyDescent="0.2">
      <c r="B66" s="115" t="str">
        <v>Type Here ⮚</v>
      </c>
      <c r="C66" s="121" t="str">
        <f>TEXT(ROW(C66)-ROW(tbl_Wages[[#Headers],[Number]]), "00")</f>
        <v>52</v>
      </c>
      <c r="D66" s="124" t="s">
        <v>326</v>
      </c>
      <c r="E66" s="238"/>
      <c r="F66" s="52"/>
      <c r="G66" s="80" t="str">
        <f>IFERROR(tbl_Wages[[#This Row],[Wage in price year of data source (without overhead)]]*INDEX(tbl_CPI[Index], MATCH(PriceYear, tbl_CPI[Year], 0))/INDEX(tbl_CPI[Index], MATCH(tbl_Wages[[#This Row],[Price year of data source]], tbl_CPI[Year], 0)), "")</f>
        <v/>
      </c>
    </row>
    <row r="67" spans="2:8" x14ac:dyDescent="0.2">
      <c r="B67" s="115" t="str">
        <v/>
      </c>
    </row>
  </sheetData>
  <phoneticPr fontId="3" type="noConversion"/>
  <hyperlinks>
    <hyperlink ref="C2" r:id="rId1" xr:uid="{0CE5D298-E226-48E4-90B7-38EE3A92C6FE}"/>
  </hyperlinks>
  <pageMargins left="0.7" right="0.7" top="0.75" bottom="0.75" header="0.3" footer="0.3"/>
  <pageSetup orientation="portrait" horizontalDpi="90" verticalDpi="90" r:id="rId2"/>
  <headerFooter>
    <oddHeader>&amp;R&amp;"Calibri"&amp;12&amp;K000000 PROTECTED B - PROTÉGÉ B&amp;1#_x000D_</oddHeader>
  </headerFooter>
  <ignoredErrors>
    <ignoredError sqref="E16:E41" listDataValidation="1"/>
  </ignoredErrors>
  <drawing r:id="rId3"/>
  <tableParts count="1">
    <tablePart r:id="rId4"/>
  </tableParts>
  <extLst>
    <ext xmlns:x14="http://schemas.microsoft.com/office/spreadsheetml/2009/9/main" uri="{CCE6A557-97BC-4b89-ADB6-D9C93CAAB3DF}">
      <x14:dataValidations xmlns:xm="http://schemas.microsoft.com/office/excel/2006/main" count="1">
        <x14:dataValidation type="list" allowBlank="1" showInputMessage="1" showErrorMessage="1" xr:uid="{F1F04E7D-4597-463E-A415-F8113FE76B8D}">
          <x14:formula1>
            <xm:f>_xlfn.ANCHORARRAY(Controls!$F$2)</xm:f>
          </x14:formula1>
          <xm:sqref>E15:E66</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99DEB1-7AD2-46F4-9814-0585A8478F59}">
  <sheetPr codeName="Sheet13">
    <tabColor rgb="FFFFC000"/>
  </sheetPr>
  <dimension ref="B2:D38"/>
  <sheetViews>
    <sheetView showGridLines="0" zoomScaleNormal="100" workbookViewId="0">
      <selection activeCell="D37" sqref="D37"/>
    </sheetView>
  </sheetViews>
  <sheetFormatPr defaultColWidth="9.109375" defaultRowHeight="11.4" x14ac:dyDescent="0.2"/>
  <cols>
    <col min="1" max="1" width="2.44140625" style="14" customWidth="1"/>
    <col min="2" max="2" width="12.109375" style="14" customWidth="1"/>
    <col min="3" max="3" width="11" style="14" customWidth="1"/>
    <col min="4" max="4" width="11.5546875" style="14" customWidth="1"/>
    <col min="5" max="5" width="15.44140625" style="14" customWidth="1"/>
    <col min="6" max="6" width="11.44140625" style="14" bestFit="1" customWidth="1"/>
    <col min="7" max="7" width="15.5546875" style="14" customWidth="1"/>
    <col min="8" max="16384" width="9.109375" style="14"/>
  </cols>
  <sheetData>
    <row r="2" spans="2:4" ht="12" x14ac:dyDescent="0.25">
      <c r="C2" s="66" t="s">
        <v>220</v>
      </c>
    </row>
    <row r="14" spans="2:4" ht="12" x14ac:dyDescent="0.2">
      <c r="C14" s="67" t="s">
        <v>0</v>
      </c>
      <c r="D14" s="68" t="s">
        <v>221</v>
      </c>
    </row>
    <row r="15" spans="2:4" x14ac:dyDescent="0.2">
      <c r="B15" s="14" t="str" cm="1">
        <f t="array" ref="B15:B38">_xlfn.VSTACK(IF(tbl_CPI[Year]=tbl_CPI[Year], ""), "Type Here ⮚")</f>
        <v/>
      </c>
      <c r="C15" s="216">
        <v>2002</v>
      </c>
      <c r="D15" s="217">
        <v>100</v>
      </c>
    </row>
    <row r="16" spans="2:4" x14ac:dyDescent="0.2">
      <c r="B16" s="14" t="str">
        <v/>
      </c>
      <c r="C16" s="69">
        <v>2003</v>
      </c>
      <c r="D16" s="70">
        <v>102.8</v>
      </c>
    </row>
    <row r="17" spans="2:4" x14ac:dyDescent="0.2">
      <c r="B17" s="14" t="str">
        <v/>
      </c>
      <c r="C17" s="69">
        <v>2004</v>
      </c>
      <c r="D17" s="70">
        <v>104.7</v>
      </c>
    </row>
    <row r="18" spans="2:4" x14ac:dyDescent="0.2">
      <c r="B18" s="14" t="str">
        <v/>
      </c>
      <c r="C18" s="69">
        <v>2005</v>
      </c>
      <c r="D18" s="70">
        <v>107</v>
      </c>
    </row>
    <row r="19" spans="2:4" x14ac:dyDescent="0.2">
      <c r="B19" s="14" t="str">
        <v/>
      </c>
      <c r="C19" s="69">
        <v>2006</v>
      </c>
      <c r="D19" s="70">
        <v>109.1</v>
      </c>
    </row>
    <row r="20" spans="2:4" x14ac:dyDescent="0.2">
      <c r="B20" s="14" t="str">
        <v/>
      </c>
      <c r="C20" s="69">
        <v>2007</v>
      </c>
      <c r="D20" s="70">
        <v>111.5</v>
      </c>
    </row>
    <row r="21" spans="2:4" x14ac:dyDescent="0.2">
      <c r="B21" s="14" t="str">
        <v/>
      </c>
      <c r="C21" s="69">
        <v>2008</v>
      </c>
      <c r="D21" s="70">
        <v>114.1</v>
      </c>
    </row>
    <row r="22" spans="2:4" x14ac:dyDescent="0.2">
      <c r="B22" s="14" t="str">
        <v/>
      </c>
      <c r="C22" s="69">
        <v>2009</v>
      </c>
      <c r="D22" s="70">
        <v>114.4</v>
      </c>
    </row>
    <row r="23" spans="2:4" x14ac:dyDescent="0.2">
      <c r="B23" s="14" t="str">
        <v/>
      </c>
      <c r="C23" s="69">
        <v>2010</v>
      </c>
      <c r="D23" s="70">
        <v>116.5</v>
      </c>
    </row>
    <row r="24" spans="2:4" x14ac:dyDescent="0.2">
      <c r="B24" s="14" t="str">
        <v/>
      </c>
      <c r="C24" s="69">
        <v>2011</v>
      </c>
      <c r="D24" s="70">
        <v>119.9</v>
      </c>
    </row>
    <row r="25" spans="2:4" x14ac:dyDescent="0.2">
      <c r="B25" s="14" t="str">
        <v/>
      </c>
      <c r="C25" s="69">
        <v>2012</v>
      </c>
      <c r="D25" s="70">
        <v>121.7</v>
      </c>
    </row>
    <row r="26" spans="2:4" x14ac:dyDescent="0.2">
      <c r="B26" s="14" t="str">
        <v/>
      </c>
      <c r="C26" s="69">
        <v>2013</v>
      </c>
      <c r="D26" s="70">
        <v>122.8</v>
      </c>
    </row>
    <row r="27" spans="2:4" x14ac:dyDescent="0.2">
      <c r="B27" s="14" t="str">
        <v/>
      </c>
      <c r="C27" s="69">
        <v>2014</v>
      </c>
      <c r="D27" s="70">
        <v>125.2</v>
      </c>
    </row>
    <row r="28" spans="2:4" x14ac:dyDescent="0.2">
      <c r="B28" s="14" t="str">
        <v/>
      </c>
      <c r="C28" s="69">
        <v>2015</v>
      </c>
      <c r="D28" s="70">
        <v>126.6</v>
      </c>
    </row>
    <row r="29" spans="2:4" x14ac:dyDescent="0.2">
      <c r="B29" s="14" t="str">
        <v/>
      </c>
      <c r="C29" s="69">
        <v>2016</v>
      </c>
      <c r="D29" s="70">
        <v>128.4</v>
      </c>
    </row>
    <row r="30" spans="2:4" x14ac:dyDescent="0.2">
      <c r="B30" s="14" t="str">
        <v/>
      </c>
      <c r="C30" s="69">
        <v>2017</v>
      </c>
      <c r="D30" s="70">
        <v>130.4</v>
      </c>
    </row>
    <row r="31" spans="2:4" x14ac:dyDescent="0.2">
      <c r="B31" s="14" t="str">
        <v/>
      </c>
      <c r="C31" s="69">
        <v>2018</v>
      </c>
      <c r="D31" s="70">
        <v>133.4</v>
      </c>
    </row>
    <row r="32" spans="2:4" x14ac:dyDescent="0.2">
      <c r="B32" s="14" t="str">
        <v/>
      </c>
      <c r="C32" s="69">
        <v>2019</v>
      </c>
      <c r="D32" s="70">
        <v>136</v>
      </c>
    </row>
    <row r="33" spans="2:4" x14ac:dyDescent="0.2">
      <c r="B33" s="14" t="str">
        <v/>
      </c>
      <c r="C33" s="69">
        <v>2020</v>
      </c>
      <c r="D33" s="70">
        <v>137</v>
      </c>
    </row>
    <row r="34" spans="2:4" x14ac:dyDescent="0.2">
      <c r="B34" s="14" t="str">
        <v/>
      </c>
      <c r="C34" s="69">
        <v>2021</v>
      </c>
      <c r="D34" s="70">
        <v>141.6</v>
      </c>
    </row>
    <row r="35" spans="2:4" x14ac:dyDescent="0.2">
      <c r="B35" s="14" t="str">
        <v/>
      </c>
      <c r="C35" s="69">
        <v>2022</v>
      </c>
      <c r="D35" s="70">
        <v>151.19999999999999</v>
      </c>
    </row>
    <row r="36" spans="2:4" x14ac:dyDescent="0.2">
      <c r="B36" s="14" t="str">
        <v/>
      </c>
      <c r="C36" s="69">
        <v>2023</v>
      </c>
      <c r="D36" s="70">
        <v>157.1</v>
      </c>
    </row>
    <row r="37" spans="2:4" x14ac:dyDescent="0.2">
      <c r="B37" s="14" t="str">
        <v/>
      </c>
      <c r="C37" s="71">
        <v>2024</v>
      </c>
      <c r="D37" s="72">
        <v>160.9</v>
      </c>
    </row>
    <row r="38" spans="2:4" x14ac:dyDescent="0.2">
      <c r="B38" s="14" t="str">
        <v>Type Here ⮚</v>
      </c>
    </row>
  </sheetData>
  <hyperlinks>
    <hyperlink ref="C2" r:id="rId1" display="https://www150.statcan.gc.ca/t1/tbl1/en/tv.action?pid=1810000501" xr:uid="{9F734A7A-7CC9-4215-951F-9788C12C1C4F}"/>
  </hyperlinks>
  <pageMargins left="0.7" right="0.7" top="0.75" bottom="0.75" header="0.3" footer="0.3"/>
  <pageSetup orientation="portrait" horizontalDpi="90" verticalDpi="90" r:id="rId2"/>
  <headerFooter>
    <oddHeader>&amp;R&amp;"Calibri"&amp;12&amp;K000000 PROTECTED B - PROTÉGÉ B&amp;1#_x000D_</oddHeader>
  </headerFooter>
  <drawing r:id="rId3"/>
  <tableParts count="1">
    <tablePart r:id="rId4"/>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51E5D-D603-4D5A-8517-87FDD7082D79}">
  <sheetPr codeName="Sheet5">
    <tabColor rgb="FFC00000"/>
  </sheetPr>
  <dimension ref="A1:AI64"/>
  <sheetViews>
    <sheetView zoomScale="85" zoomScaleNormal="85" workbookViewId="0"/>
  </sheetViews>
  <sheetFormatPr defaultColWidth="8.6640625" defaultRowHeight="14.4" x14ac:dyDescent="0.3"/>
  <cols>
    <col min="1" max="1" width="13.44140625" style="27" customWidth="1"/>
    <col min="2" max="2" width="23.109375" style="27" customWidth="1"/>
    <col min="3" max="3" width="14.6640625" style="27" customWidth="1"/>
    <col min="4" max="4" width="9.88671875" style="27" customWidth="1"/>
    <col min="5" max="5" width="7" style="27" customWidth="1"/>
    <col min="6" max="6" width="9.6640625" style="27" customWidth="1"/>
    <col min="7" max="7" width="15.109375" style="27" customWidth="1"/>
    <col min="8" max="8" width="23" style="27" customWidth="1"/>
    <col min="9" max="9" width="12.5546875" style="27" customWidth="1"/>
    <col min="10" max="11" width="20.6640625" style="116" customWidth="1"/>
    <col min="12" max="12" width="20.44140625" style="116" customWidth="1"/>
    <col min="13" max="13" width="15" style="116" customWidth="1"/>
    <col min="14" max="14" width="20.109375" style="116" customWidth="1"/>
    <col min="15" max="15" width="18.88671875" style="116" customWidth="1"/>
    <col min="16" max="16" width="17" style="116" customWidth="1"/>
    <col min="17" max="17" width="18.5546875" style="116" customWidth="1"/>
    <col min="18" max="18" width="18.33203125" style="116" customWidth="1"/>
    <col min="19" max="20" width="17.109375" style="116" customWidth="1"/>
    <col min="21" max="21" width="16.5546875" style="116" customWidth="1"/>
    <col min="22" max="22" width="17.109375" style="116" customWidth="1"/>
    <col min="23" max="23" width="17.44140625" style="116" customWidth="1"/>
    <col min="24" max="24" width="19.5546875" style="116" customWidth="1"/>
    <col min="25" max="25" width="12.5546875" customWidth="1"/>
    <col min="26" max="26" width="26.109375" style="27" customWidth="1"/>
    <col min="27" max="27" width="23.88671875" customWidth="1"/>
    <col min="28" max="28" width="11.88671875" customWidth="1"/>
    <col min="29" max="29" width="13.44140625" customWidth="1"/>
    <col min="30" max="32" width="18" customWidth="1"/>
    <col min="33" max="33" width="14.5546875" customWidth="1"/>
    <col min="34" max="34" width="41.33203125" customWidth="1"/>
    <col min="35" max="36" width="15.44140625" customWidth="1"/>
    <col min="37" max="38" width="8.6640625" customWidth="1"/>
  </cols>
  <sheetData>
    <row r="1" spans="1:35" s="7" customFormat="1" ht="79.5" customHeight="1" x14ac:dyDescent="0.3">
      <c r="A1" s="253" t="s">
        <v>3</v>
      </c>
      <c r="B1" s="254" t="s">
        <v>4</v>
      </c>
      <c r="C1" s="254" t="s">
        <v>5</v>
      </c>
      <c r="D1" s="254" t="s">
        <v>6</v>
      </c>
      <c r="E1" s="254" t="s">
        <v>0</v>
      </c>
      <c r="F1" s="254" t="s">
        <v>7</v>
      </c>
      <c r="G1" s="254" t="s">
        <v>2</v>
      </c>
      <c r="H1" s="254" t="s">
        <v>8</v>
      </c>
      <c r="I1" s="254" t="s">
        <v>9</v>
      </c>
      <c r="J1" s="249" t="s">
        <v>10</v>
      </c>
      <c r="K1" s="249" t="s">
        <v>11</v>
      </c>
      <c r="L1" s="249" t="s">
        <v>12</v>
      </c>
      <c r="M1" s="249" t="str">
        <f>"Cost Per Event ("&amp;PriceYear&amp;" CAD)"</f>
        <v>Cost Per Event (2024 CAD)</v>
      </c>
      <c r="N1" s="248" t="s">
        <v>13</v>
      </c>
      <c r="O1" s="248" t="s">
        <v>14</v>
      </c>
      <c r="P1" s="248" t="s">
        <v>15</v>
      </c>
      <c r="Q1" s="249" t="s">
        <v>16</v>
      </c>
      <c r="R1" s="249" t="s">
        <v>17</v>
      </c>
      <c r="S1" s="249" t="s">
        <v>18</v>
      </c>
      <c r="T1" s="249" t="s">
        <v>19</v>
      </c>
      <c r="U1" s="249" t="s">
        <v>20</v>
      </c>
      <c r="V1" s="249" t="s">
        <v>21</v>
      </c>
      <c r="W1" s="249" t="s">
        <v>22</v>
      </c>
      <c r="X1" s="249" t="s">
        <v>23</v>
      </c>
      <c r="Y1"/>
      <c r="Z1" s="5" t="s">
        <v>24</v>
      </c>
      <c r="AA1" s="4" t="s">
        <v>25</v>
      </c>
      <c r="AB1" s="4" t="s">
        <v>26</v>
      </c>
      <c r="AC1" s="4" t="s">
        <v>27</v>
      </c>
      <c r="AD1" s="4" t="s">
        <v>28</v>
      </c>
      <c r="AE1" s="4" t="s">
        <v>29</v>
      </c>
      <c r="AF1" s="4" t="s">
        <v>30</v>
      </c>
      <c r="AG1" s="110"/>
      <c r="AH1" s="244" t="str">
        <f>"Breakdown by stakeholder group {undiscounted, discounted}:"</f>
        <v>Breakdown by stakeholder group {undiscounted, discounted}:</v>
      </c>
      <c r="AI1" s="246" t="str" cm="1">
        <f t="array" ref="AI1">IFERROR(_xlfn.LET(_xlpm.x, TRANSPOSE(_xlfn._xlws.FILTER(tbl_Stakeholders[Stakeholder Group], tbl_Stakeholders[Stakeholder Group]&lt;&gt;"")), _xlfn.HSTACK(_xlpm.x&amp;" Undiscounted Impacts", _xlpm.x&amp;" Discounted Impacts")), "")</f>
        <v/>
      </c>
    </row>
    <row r="2" spans="1:35" x14ac:dyDescent="0.3">
      <c r="A2" s="250" t="str" cm="1">
        <f t="array" ref="A2">repeat(Periods, ActivityNumber)</f>
        <v/>
      </c>
      <c r="B2" s="250" t="str" cm="1">
        <f t="array" ref="B2">IFERROR(INDEX(tbl_Activities[Activity],_xlfn.ANCHORARRAY( A2)), "")</f>
        <v/>
      </c>
      <c r="C2" s="250" t="str" cm="1">
        <f t="array" ref="C2">IFERROR(INDEX(tbl_Activities[Administrative or Compliance],_xlfn.ANCHORARRAY( A2)), "")</f>
        <v/>
      </c>
      <c r="D2" s="250" t="str" cm="1">
        <f t="array" ref="D2">IFERROR(INDEX(tbl_Activities[In or Out],_xlfn.ANCHORARRAY( A2)), "")</f>
        <v/>
      </c>
      <c r="E2" s="250" t="str" cm="1">
        <f t="array" ref="E2">IFERROR(
IF(_xlfn.ANCHORARRAY(Z2)="Start of Analytical Period", YearOfRegistration,
IF(_xlfn.ANCHORARRAY(Z2)="End of Analytical Period", YearOfRegistration+Time-1,_xlfn.ANCHORARRAY(
Z2)))
+ _xlfn.LET(_xlpm.x,_xlfn.ANCHORARRAY( F2)/_xlfn.BYROW(_xlfn.ANCHORARRAY(G2), _xlfn.LAMBDA(_xlpm.row, MAX(_xlpm.row, 1)))-1, ROUNDUP(IF(_xlpm.x&lt;0, 0, _xlpm.x), 0)), "")</f>
        <v/>
      </c>
      <c r="F2" s="251" t="str" cm="1">
        <f t="array" ref="F2">IFERROR(
_xlfn.LET(
_xlpm.a, _xlfn._xlws.FILTER(Periods, Checkblank),
_xlpm.b, _xlfn.SEQUENCE(COUNTA(_xlfn._xlws.FILTER(Periods, Checkblank))),
_xlpm.c, TRANSPOSE(_xlpm.b),
_xlpm.d, --(_xlpm.b&gt;=_xlpm.c),
_xlpm.e, MMULT(_xlpm.d, _xlpm.a),
_xlpm.f, SUM(_xlpm.a),
_xlpm.g, _xlfn.SEQUENCE(_xlpm.f),
_xlpm.h, _xlfn.XMATCH(_xlpm.g-1, _xlpm.e,-1),
_xlpm.I, IFERROR(INDEX(_xlpm.e,_xlpm.h),0),
_xlpm.j, _xlpm.g - _xlpm.I,
_xlpm.j)-IF(INDEX(tbl_Activities[Upfront or  Ongoing],_xlfn.ANCHORARRAY( A2))="Upfront", 1, 0),
"")</f>
        <v/>
      </c>
      <c r="G2" s="251" t="str" cm="1">
        <f t="array" ref="G2">IFERROR(IF(INDEX(tbl_Activities[Upfront or  Ongoing],_xlfn.ANCHORARRAY( A2))="Ongoing", INDEX(tbl_Activities[Annual Frequency],_xlfn.ANCHORARRAY( A2)), 1), "")</f>
        <v/>
      </c>
      <c r="H2" s="250" t="str" cm="1">
        <f t="array" ref="H2">IFERROR(INDEX(tbl_Activities[Affected Stakeholder Group],_xlfn.ANCHORARRAY( A2)), "")</f>
        <v/>
      </c>
      <c r="I2" s="255" t="str" cm="1">
        <f t="array" ref="I2">IFERROR(INDEX(tbl_Activities[Percent Affected],_xlfn.ANCHORARRAY( A2)), "")</f>
        <v/>
      </c>
      <c r="J2" s="256" t="str" cm="1">
        <f t="array" ref="J2">_xlfn.MAKEARRAY(OutputRows, 1, _xlfn.LAMBDA(_xlpm.r,_xlpm.c,
IF(INDEX(_xlfn.ANCHORARRAY(AA2), _xlpm.r)="All Businesses", 0, IF(INDEX(_xlfn.ANCHORARRAY(AA2), _xlpm.r)="Med/Large Businesses", 0, IF(INDEX(_xlfn.ANCHORARRAY(AA2), _xlpm.r)="Small Businesses", 0,
_xlfn.LET(
_xlpm.Activity_Type, INDEX(_xlfn.ANCHORARRAY(AB2), _xlpm.r),
_xlpm.AllGroups, INDEX(_xlfn.ANCHORARRAY(H2), _xlpm.r)="All Groups",
_xlpm.period, INDEX(_xlfn.ANCHORARRAY(F2), _xlpm.r),
_xlpm.freq, INDEX(_xlfn.ANCHORARRAY(G2), _xlpm.r),
_xlpm.NBCounts, _xlfn._xlws.FILTER(tbl_Stakeholders[Non-business Count], tbl_Stakeholders[Stakeholder Group]&lt;&gt;""),
_xlpm.NBGrowth, _xlfn._xlws.FILTER(tbl_Stakeholders[Non-business Growth Rate], tbl_Stakeholders[Stakeholder Group]&lt;&gt;""),
_xlpm.Group_Index, INDEX(_xlfn.ANCHORARRAY(AF2), _xlpm.r),
_xlpm.p0, INDEX(_xlpm.NBCounts, _xlpm.Group_Index),
_xlpm.growth, INDEX(_xlpm.NBGrowth, _xlpm.Group_Index),
IFERROR(
INDEX(_xlfn.TAKE(_xlfn.DROP(I:I,MATCH($I$1,I:I,0)),_xlfn.XMATCH(,_xlfn.DROP(I:I,MATCH($I$1,I:I,0)))-1), _xlpm.r)*
IF(_xlpm.freq&lt;1,
_xlfn.LET(
_xlpm.mod, MOD(_xlfn.SEQUENCE(_xlpm.period)+1/_xlpm.freq-1, 1/_xlpm.freq),
IF(_xlpm.AllGroups,
     _xlfn.LET(
          _xlpm.NBCount_Growing, _xlfn._xlws.FILTER(_xlpm.NBCounts, _xlpm.NBGrowth&gt;0),
          _xlpm.NBGrowth_Growing, _xlfn._xlws.FILTER(_xlpm.NBGrowth, _xlpm.NBGrowth&gt;0),
          _xlpm.NBCount_NotGrowing, _xlfn._xlws.FILTER(_xlpm.NBCounts, _xlpm.NBGrowth&lt;=0),
          _xlpm.NBGrowth_NotGrowing, _xlfn._xlws.FILTER(_xlpm.NBGrowth, _xlpm.NBGrowth&lt;=0),
     IF(_xlpm.Activity_Type=1, _xlfn.LET(
          _xlpm.a, IFERROR(_xlfn.MAKEARRAY(_xlpm.period, 1, _xlfn.LAMBDA(_xlpm.i,_xlpm.j, IF(_xlpm.i=1, SUMPRODUCT(_xlpm.NBCount_Growing, (1+_xlpm.NBGrowth_Growing)^(INDEX(_xlfn.ANCHORARRAY(AD2), _xlpm.r)+1)), SUMPRODUCT(_xlpm.NBCount_Growing, _xlpm.NBGrowth_Growing, (1+_xlpm.NBGrowth_Growing)^(INDEX(_xlfn.ANCHORARRAY(AD2), _xlpm.r)+_xlpm.i-1))))), 0),
          _xlpm.b, IFERROR(_xlfn.MAKEARRAY(_xlpm.period, 1, _xlfn.LAMBDA(_xlpm.i,_xlpm.j, IF(_xlpm.i=1, SUMPRODUCT(_xlpm.NBCount_NotGrowing, (1+_xlpm.NBGrowth_NotGrowing)^(INDEX(_xlfn.ANCHORARRAY(AD2), _xlpm.r)+1)), IF(INDEX(_xlpm.mod, _xlpm.i)=0, SUMPRODUCT(_xlpm.NBCount_NotGrowing, (1+_xlpm.NBGrowth_NotGrowing)^INDEX(_xlfn.ANCHORARRAY(AC2), _xlpm.r)), 0)))), 0),
          SUM(_xlfn._xlws.FILTER(_xlpm.a, _xlpm.mod=INDEX(_xlpm.mod, _xlpm.period)), _xlfn.TAKE(_xlpm.b, -1))),
     IF(_xlpm.Activity_Type=2, IF(INDEX(_xlpm.mod, _xlpm.r)&gt;0, 0, SUM(IFERROR(SUMPRODUCT(_xlpm.NBCount_Growing, (1+_xlpm.NBGrowth_Growing)^INDEX(_xlfn.ANCHORARRAY(AD2), _xlpm.r)), 0), IFERROR(SUMPRODUCT(_xlpm.NBCount_NotGrowing, (1+_xlpm.NBGrowth_NotGrowing)^INDEX(_xlfn.ANCHORARRAY(AC2), _xlpm.r)), 0))),
     IF(_xlpm.Activity_Type=3, _xlfn.LET(_xlpm.a, IFERROR(_xlfn.MAKEARRAY(_xlpm.period, 1, _xlfn.LAMBDA(_xlpm.i,_xlpm.j, SUMPRODUCT(_xlpm.NBCount_Growing, _xlpm.NBGrowth_Growing, (1+_xlpm.NBGrowth_Growing)^(INDEX(_xlfn.ANCHORARRAY(AD2), _xlpm.r)+_xlpm.i-1)))), 0), SUM(_xlfn._xlws.FILTER(_xlpm.a, _xlpm.mod=INDEX(_xlpm.mod, _xlpm.period)))), 0)))
     ),
     IF(_xlpm.Activity_Type=1, _xlfn.LET(
          _xlpm.c, _xlfn.MAKEARRAY(_xlpm.period, 1, _xlfn.LAMBDA(_xlpm.i,_xlpm.j, IF(_xlpm.i=1, _xlpm.p0*(1+_xlpm.growth)^(INDEX(_xlfn.ANCHORARRAY(AD2), _xlpm.r)+1), IF(_xlpm.growth&gt;0, _xlpm.p0*_xlpm.growth*(1+_xlpm.growth)^(INDEX(_xlfn.ANCHORARRAY(AD2), _xlpm.r)+_xlpm.i-1), IF(INDEX(_xlpm.mod, _xlpm.i)=0, _xlpm.p0*(1+_xlpm.growth)^INDEX(_xlfn.ANCHORARRAY(AC2), _xlpm.r), 0))))),
          IF(_xlpm.growth&gt;0, SUM(_xlfn._xlws.FILTER(_xlpm.c, _xlpm.mod=INDEX(_xlpm.mod, _xlpm.period))), _xlfn.TAKE(_xlpm.c, -1))),
     IF(_xlpm.Activity_Type=2, IF(INDEX(_xlpm.mod, _xlpm.r)&gt;0, 0, _xlpm.p0*(1+_xlpm.growth)^IF(_xlpm.growth&lt;0, INDEX(_xlfn.ANCHORARRAY(AC2), _xlpm.r), INDEX(_xlfn.ANCHORARRAY(AD2), _xlpm.r))),
     IF(_xlpm.Activity_Type=3, _xlfn.LET(_xlpm.c, _xlfn.MAKEARRAY(_xlpm.period, 1, _xlfn.LAMBDA(_xlpm.i,_xlpm.j, IF(_xlpm.growth&gt;0, _xlpm.p0*_xlpm.growth*(1+_xlpm.growth)^(INDEX(_xlfn.ANCHORARRAY(AD2), _xlpm.r)+_xlpm.i-1), 0))), IF(_xlpm.growth&gt;0, SUM(_xlfn._xlws.FILTER(_xlpm.c, _xlpm.mod=INDEX(_xlpm.mod, _xlpm.period))), _xlfn.TAKE(_xlpm.c, -1))), 0))))
     ),
IF(_xlpm.Activity_Type=1, IF(_xlpm.AllGroups, SUMPRODUCT(_xlpm.NBCounts, (1+_xlpm.NBGrowth)^INDEX(_xlfn.ANCHORARRAY(AC2), _xlpm.r)), _xlpm.p0*(1+_xlpm.growth)^INDEX(_xlfn.ANCHORARRAY(AC2), _xlpm.r)),
IF(_xlpm.Activity_Type=2, IF(_xlpm.AllGroups, SUMPRODUCT(_xlpm.NBCounts, (1+_xlpm.NBGrowth)^IF(_xlpm.NBGrowth&lt;0, INDEX(_xlfn.ANCHORARRAY(AC2), _xlpm.r), INDEX(_xlfn.ANCHORARRAY(AD2), _xlpm.r))), _xlpm.p0*(1+_xlpm.growth)^IF(_xlpm.growth&lt;0, INDEX(_xlfn.ANCHORARRAY(AC2), _xlpm.r), INDEX(_xlfn.ANCHORARRAY(AD2), _xlpm.r))),
IF(_xlpm.Activity_Type=3, IF(_xlpm.AllGroups, SUMPRODUCT(_xlpm.NBCounts, (1+IF(_xlpm.NBGrowth&lt;0, 0, _xlpm.NBGrowth))^INDEX(_xlfn.ANCHORARRAY(AC2), _xlpm.r)-(1+IF(_xlpm.NBGrowth&lt;0, 0, _xlpm.NBGrowth))^INDEX(_xlfn.ANCHORARRAY(AD2), _xlpm.r)), IF(_xlpm.growth&lt;=0, 0, _xlpm.p0*((1+_xlpm.growth)^INDEX(_xlfn.ANCHORARRAY(AC2), _xlpm.r)-(1+_xlpm.growth)^INDEX(_xlfn.ANCHORARRAY(AD2), _xlpm.r)))),
IF(_xlpm.Activity_Type=4, IF(_xlpm.AllGroups, IF(_xlpm.period=0, SUMPRODUCT(_xlpm.NBCounts, (1+_xlpm.NBGrowth)^INDEX(_xlfn.ANCHORARRAY(AC2), _xlpm.r)), _xlfn.LET(_xlpm.g, (1+IF(_xlpm.NBGrowth&lt;0, 0, _xlpm.NBGrowth)), SUMPRODUCT(_xlpm.NBCounts, _xlpm.g^INDEX(_xlfn.ANCHORARRAY(AC2), _xlpm.r)-_xlpm.g^(INDEX(_xlfn.ANCHORARRAY(AC2), _xlpm.r-1))))), IF(_xlpm.period=0, _xlpm.p0*(1+_xlpm.growth)^INDEX(_xlfn.ANCHORARRAY(AC2), _xlpm.r), IF(_xlpm.growth&lt;0, 0, _xlpm.p0*((1+_xlpm.growth)^INDEX(_xlfn.ANCHORARRAY(AC2), _xlpm.r)-(1+_xlpm.growth)^INDEX(_xlfn.ANCHORARRAY(AC2), _xlpm.r-1))))),
IF(_xlpm.Activity_Type=5, IF(_xlpm.AllGroups, IF(_xlpm.period&gt;0, 0, SUMPRODUCT(_xlpm.NBCounts, (1+_xlpm.NBGrowth)^INDEX(_xlfn.ANCHORARRAY(AC2), _xlpm.r))), IF(_xlpm.period&gt;0, 0, _xlpm.p0*(1+_xlpm.growth)^INDEX(_xlfn.ANCHORARRAY(AC2), _xlpm.r))),
IF(_xlpm.Activity_Type=6, IF(_xlpm.AllGroups, IF(_xlpm.period=0, 0, _xlfn.LET(_xlpm.g, (1+IF(_xlpm.NBGrowth&lt;0, 0, _xlpm.NBGrowth)), SUMPRODUCT(_xlpm.NBCounts, _xlpm.g^INDEX(_xlfn.ANCHORARRAY(AC2), _xlpm.r)-_xlpm.g^(INDEX(_xlfn.ANCHORARRAY(AC2), _xlpm.r-1))))), IF(_xlpm.period=0, 0, IF(_xlpm.growth&lt;0, 0, _xlpm.p0*((1+_xlpm.growth)^INDEX(_xlfn.ANCHORARRAY(AC2), _xlpm.r)-(1+_xlpm.growth)^INDEX(_xlfn.ANCHORARRAY(AC2), _xlpm.r-1))))),
0))))))), "")))))))</f>
        <v/>
      </c>
      <c r="K2" s="256" t="str" cm="1">
        <f t="array" ref="K2">_xlfn.MAKEARRAY(OutputRows, 1, _xlfn.LAMBDA(_xlpm.r,_xlpm.c,
IF(INDEX(_xlfn.ANCHORARRAY(AA2), _xlpm.r)="Med/Large Businesses", 0, IF(INDEX(_xlfn.ANCHORARRAY(AA2), _xlpm.r)="All Non-Businesses", 0,
_xlfn.LET(
_xlpm.Activity_Type, INDEX(_xlfn.ANCHORARRAY(AB2), _xlpm.r),
_xlpm.AllGroups, INDEX(_xlfn.ANCHORARRAY(H2), _xlpm.r)="All Groups",
_xlpm.period, INDEX(_xlfn.ANCHORARRAY(F2), _xlpm.r),
_xlpm.freq, INDEX(_xlfn.ANCHORARRAY(G2), _xlpm.r),
_xlpm.SBCounts, _xlfn._xlws.FILTER(tbl_Stakeholders[Small Business Count], tbl_Stakeholders[Stakeholder Group]&lt;&gt;""),
_xlpm.SBGrowth, _xlfn._xlws.FILTER(tbl_Stakeholders[Small Business Growth Rate], tbl_Stakeholders[Stakeholder Group]&lt;&gt;""),
_xlpm.Group_Index, INDEX(_xlfn.ANCHORARRAY(AF2), _xlpm.r),
_xlpm.p0, INDEX(_xlpm.SBCounts, _xlpm.Group_Index),
_xlpm.growth, INDEX(_xlpm.SBGrowth, _xlpm.Group_Index),
IFERROR(
INDEX(_xlfn.TAKE(_xlfn.DROP(I:I,MATCH($I$1,I:I,0)),_xlfn.XMATCH(,_xlfn.DROP(I:I,MATCH($I$1,I:I,0)))-1), _xlpm.r)*
IF(_xlpm.freq&lt;1,
_xlfn.LET(
_xlpm.mod, MOD(_xlfn.SEQUENCE(_xlpm.period)+1/_xlpm.freq-1, 1/_xlpm.freq),
IF(_xlpm.AllGroups,
     _xlfn.LET(
          _xlpm.SBCount_Growing, _xlfn._xlws.FILTER(_xlpm.SBCounts, _xlpm.SBGrowth&gt;0),
          _xlpm.SBGrowth_Growing, _xlfn._xlws.FILTER(_xlpm.SBGrowth, _xlpm.SBGrowth&gt;0),
          _xlpm.SBCount_NotGrowing, _xlfn._xlws.FILTER(_xlpm.SBCounts, _xlpm.SBGrowth&lt;=0),
          _xlpm.SBGrowth_NotGrowing, _xlfn._xlws.FILTER(_xlpm.SBGrowth, _xlpm.SBGrowth&lt;=0),
     IF(_xlpm.Activity_Type=1, _xlfn.LET(
          _xlpm.a, IFERROR(_xlfn.MAKEARRAY(_xlpm.period, 1, _xlfn.LAMBDA(_xlpm.i,_xlpm.j, IF(_xlpm.i=1, SUMPRODUCT(_xlpm.SBCount_Growing, (1+_xlpm.SBGrowth_Growing)^(INDEX(_xlfn.ANCHORARRAY(AD2), _xlpm.r)+1)), SUMPRODUCT(_xlpm.SBCount_Growing, _xlpm.SBGrowth_Growing, (1+_xlpm.SBGrowth_Growing)^(INDEX(_xlfn.ANCHORARRAY(AD2), _xlpm.r)+_xlpm.i-1))))), 0),
          _xlpm.b, IFERROR(_xlfn.MAKEARRAY(_xlpm.period, 1, _xlfn.LAMBDA(_xlpm.i,_xlpm.j, IF(_xlpm.i=1, SUMPRODUCT(_xlpm.SBCount_NotGrowing, (1+_xlpm.SBGrowth_NotGrowing)^(INDEX(_xlfn.ANCHORARRAY(AD2), _xlpm.r)+1)), IF(INDEX(_xlpm.mod, _xlpm.i)=0, SUMPRODUCT(_xlpm.SBCount_NotGrowing, (1+_xlpm.SBGrowth_NotGrowing)^INDEX(_xlfn.ANCHORARRAY(AC2), _xlpm.r)), 0)))), 0),
          SUM(_xlfn._xlws.FILTER(_xlpm.a, _xlpm.mod=INDEX(_xlpm.mod, _xlpm.period)), _xlfn.TAKE(_xlpm.b, -1))),
     IF(_xlpm.Activity_Type=2, IF(INDEX(_xlpm.mod, _xlpm.r)&gt;0, 0, SUM(IFERROR(SUMPRODUCT(_xlpm.SBCount_Growing, (1+_xlpm.SBGrowth_Growing)^INDEX(_xlfn.ANCHORARRAY(AD2), _xlpm.r)), 0), IFERROR(SUMPRODUCT(_xlpm.SBCount_NotGrowing, (1+_xlpm.SBGrowth_NotGrowing)^INDEX(_xlfn.ANCHORARRAY(AC2), _xlpm.r)), 0))),
     IF(_xlpm.Activity_Type=3, _xlfn.LET(_xlpm.a, IFERROR(_xlfn.MAKEARRAY(_xlpm.period, 1, _xlfn.LAMBDA(_xlpm.i,_xlpm.j, SUMPRODUCT(_xlpm.SBCount_Growing, _xlpm.SBGrowth_Growing, (1+_xlpm.SBGrowth_Growing)^(INDEX(_xlfn.ANCHORARRAY(AD2), _xlpm.r)+_xlpm.i-1)))), 0), SUM(_xlfn._xlws.FILTER(_xlpm.a, _xlpm.mod=INDEX(_xlpm.mod, _xlpm.period)))), 0)))
     ),
     IF(_xlpm.Activity_Type=1, _xlfn.LET(
          _xlpm.c, _xlfn.MAKEARRAY(_xlpm.period, 1, _xlfn.LAMBDA(_xlpm.i,_xlpm.j, IF(_xlpm.i=1, _xlpm.p0*(1+_xlpm.growth)^(INDEX(_xlfn.ANCHORARRAY(AD2), _xlpm.r)+1), IF(_xlpm.growth&gt;0, _xlpm.p0*_xlpm.growth*(1+_xlpm.growth)^(INDEX(_xlfn.ANCHORARRAY(AD2), _xlpm.r)+_xlpm.i-1), IF(INDEX(_xlpm.mod, _xlpm.i)=0, _xlpm.p0*(1+_xlpm.growth)^INDEX(_xlfn.ANCHORARRAY(AC2), _xlpm.r), 0))))),
          IF(_xlpm.growth&gt;0, SUM(_xlfn._xlws.FILTER(_xlpm.c, _xlpm.mod=INDEX(_xlpm.mod, _xlpm.period))), _xlfn.TAKE(_xlpm.c, -1))),
     IF(_xlpm.Activity_Type=2, IF(INDEX(_xlpm.mod, _xlpm.r)&gt;0, 0, _xlpm.p0*(1+_xlpm.growth)^IF(_xlpm.growth&lt;0, INDEX(_xlfn.ANCHORARRAY(AC2), _xlpm.r), INDEX(_xlfn.ANCHORARRAY(AD2), _xlpm.r))),
     IF(_xlpm.Activity_Type=3, _xlfn.LET(_xlpm.c, _xlfn.MAKEARRAY(_xlpm.period, 1, _xlfn.LAMBDA(_xlpm.i,_xlpm.j, IF(_xlpm.growth&gt;0, _xlpm.p0*_xlpm.growth*(1+_xlpm.growth)^(INDEX(_xlfn.ANCHORARRAY(AD2), _xlpm.r)+_xlpm.i-1), 0))), IF(_xlpm.growth&gt;0, SUM(_xlfn._xlws.FILTER(_xlpm.c, _xlpm.mod=INDEX(_xlpm.mod, _xlpm.period))), _xlfn.TAKE(_xlpm.c, -1))), 0))))
     ),
IF(_xlpm.Activity_Type=1, IF(_xlpm.AllGroups, SUMPRODUCT(_xlpm.SBCounts, (1+_xlpm.SBGrowth)^INDEX(_xlfn.ANCHORARRAY(AC2), _xlpm.r)), _xlpm.p0*(1+_xlpm.growth)^INDEX(_xlfn.ANCHORARRAY(AC2), _xlpm.r)),
IF(_xlpm.Activity_Type=2, IF(_xlpm.AllGroups, SUMPRODUCT(_xlpm.SBCounts, (1+_xlpm.SBGrowth)^IF(_xlpm.SBGrowth&lt;0, INDEX(_xlfn.ANCHORARRAY(AC2), _xlpm.r), INDEX(_xlfn.ANCHORARRAY(AD2), _xlpm.r))), _xlpm.p0*(1+_xlpm.growth)^IF(_xlpm.growth&lt;0, INDEX(_xlfn.ANCHORARRAY(AC2), _xlpm.r), INDEX(_xlfn.ANCHORARRAY(AD2), _xlpm.r))),
IF(_xlpm.Activity_Type=3, IF(_xlpm.AllGroups, SUMPRODUCT(_xlpm.SBCounts, (1+IF(_xlpm.SBGrowth&lt;0, 0, _xlpm.SBGrowth))^INDEX(_xlfn.ANCHORARRAY(AC2), _xlpm.r)-(1+IF(_xlpm.SBGrowth&lt;0, 0, _xlpm.SBGrowth))^INDEX(_xlfn.ANCHORARRAY(AD2), _xlpm.r)), IF(_xlpm.growth&lt;=0, 0, _xlpm.p0*((1+_xlpm.growth)^INDEX(_xlfn.ANCHORARRAY(AC2), _xlpm.r)-(1+_xlpm.growth)^INDEX(_xlfn.ANCHORARRAY(AD2), _xlpm.r)))),
IF(_xlpm.Activity_Type=4, IF(_xlpm.AllGroups, IF(_xlpm.period=0, SUMPRODUCT(_xlpm.SBCounts, (1+_xlpm.SBGrowth)^INDEX(_xlfn.ANCHORARRAY(AC2), _xlpm.r)), _xlfn.LET(_xlpm.g, (1+IF(_xlpm.SBGrowth&lt;0, 0, _xlpm.SBGrowth)), SUMPRODUCT(_xlpm.SBCounts, _xlpm.g^INDEX(_xlfn.ANCHORARRAY(AC2), _xlpm.r)-_xlpm.g^(INDEX(_xlfn.ANCHORARRAY(AC2), _xlpm.r-1))))), IF(_xlpm.period=0, _xlpm.p0*(1+_xlpm.growth)^INDEX(_xlfn.ANCHORARRAY(AC2), _xlpm.r), IF(_xlpm.growth&lt;0, 0, _xlpm.p0*((1+_xlpm.growth)^INDEX(_xlfn.ANCHORARRAY(AC2), _xlpm.r)-(1+_xlpm.growth)^INDEX(_xlfn.ANCHORARRAY(AC2), _xlpm.r-1))))),
IF(_xlpm.Activity_Type=5, IF(_xlpm.AllGroups, IF(_xlpm.period&gt;0, 0, SUMPRODUCT(_xlpm.SBCounts, (1+_xlpm.SBGrowth)^INDEX(_xlfn.ANCHORARRAY(AC2), _xlpm.r))), IF(_xlpm.period&gt;0, 0, _xlpm.p0*(1+_xlpm.growth)^INDEX(_xlfn.ANCHORARRAY(AC2), _xlpm.r))),
IF(_xlpm.Activity_Type=6, IF(_xlpm.AllGroups, IF(_xlpm.period=0, 0, _xlfn.LET(_xlpm.g, (1+IF(_xlpm.SBGrowth&lt;0, 0, _xlpm.SBGrowth)), SUMPRODUCT(_xlpm.SBCounts, _xlpm.g^INDEX(_xlfn.ANCHORARRAY(AC2), _xlpm.r)-_xlpm.g^(INDEX(_xlfn.ANCHORARRAY(AC2), _xlpm.r-1))))), IF(_xlpm.period=0, 0, IF(_xlpm.growth&lt;0, 0, _xlpm.p0*((1+_xlpm.growth)^INDEX(_xlfn.ANCHORARRAY(AC2), _xlpm.r)-(1+_xlpm.growth)^INDEX(_xlfn.ANCHORARRAY(AC2), _xlpm.r-1))))),
0))))))), ""))))))</f>
        <v/>
      </c>
      <c r="L2" s="256" t="str" cm="1">
        <f t="array" ref="L2">_xlfn.MAKEARRAY(OutputRows, 1, _xlfn.LAMBDA(_xlpm.r,_xlpm.c,
IF(INDEX(_xlfn.ANCHORARRAY(AA2), _xlpm.r)="Small Businesses", 0, IF(INDEX(_xlfn.ANCHORARRAY(AA2), _xlpm.r)="All Non-Businesses", 0,
_xlfn.LET(
_xlpm.Activity_Type, INDEX(_xlfn.ANCHORARRAY(AB2), _xlpm.r),
_xlpm.AllGroups, INDEX(_xlfn.ANCHORARRAY(H2), _xlpm.r)="All Groups",
_xlpm.period, INDEX(_xlfn.ANCHORARRAY(F2), _xlpm.r),
_xlpm.freq, INDEX(_xlfn.ANCHORARRAY(G2), _xlpm.r),
_xlpm.MLBCounts, _xlfn._xlws.FILTER(tbl_Stakeholders[Med/Large Business Count], tbl_Stakeholders[Stakeholder Group]&lt;&gt;""),
_xlpm.MLBGrowth, _xlfn._xlws.FILTER(tbl_Stakeholders[Med/Large Business Growth Rate], tbl_Stakeholders[Stakeholder Group]&lt;&gt;""),
_xlpm.Group_Index, INDEX(_xlfn.ANCHORARRAY(AF2), _xlpm.r),
_xlpm.p0, INDEX(_xlpm.MLBCounts, _xlpm.Group_Index),
_xlpm.growth, INDEX(_xlpm.MLBGrowth, _xlpm.Group_Index),
IFERROR(
INDEX(_xlfn.TAKE(_xlfn.DROP(I:I,MATCH($I$1,I:I,0)),_xlfn.XMATCH(,_xlfn.DROP(I:I,MATCH($I$1,I:I,0)))-1), _xlpm.r)*
IF(_xlpm.freq&lt;1,
_xlfn.LET(
_xlpm.mod, MOD(_xlfn.SEQUENCE(_xlpm.period)+1/_xlpm.freq-1, 1/_xlpm.freq),
IF(_xlpm.AllGroups,
     _xlfn.LET(
          _xlpm.MLBCount_Growing, _xlfn._xlws.FILTER(_xlpm.MLBCounts, _xlpm.MLBGrowth&gt;0),
          _xlpm.MLBGrowth_Growing, _xlfn._xlws.FILTER(_xlpm.MLBGrowth, _xlpm.MLBGrowth&gt;0),
          _xlpm.MLBCount_NotGrowing, _xlfn._xlws.FILTER(_xlpm.MLBCounts, _xlpm.MLBGrowth&lt;=0),
          _xlpm.MLBGrowth_NotGrowing, _xlfn._xlws.FILTER(_xlpm.MLBGrowth, _xlpm.MLBGrowth&lt;=0),
     IF(_xlpm.Activity_Type=1, _xlfn.LET(
          _xlpm.a, IFERROR(_xlfn.MAKEARRAY(_xlpm.period, 1, _xlfn.LAMBDA(_xlpm.i,_xlpm.j, IF(_xlpm.i=1, SUMPRODUCT(_xlpm.MLBCount_Growing, (1+_xlpm.MLBGrowth_Growing)^(INDEX(_xlfn.ANCHORARRAY(AD2), _xlpm.r)+1)), SUMPRODUCT(_xlpm.MLBCount_Growing, _xlpm.MLBGrowth_Growing, (1+_xlpm.MLBGrowth_Growing)^(INDEX(_xlfn.ANCHORARRAY(AD2), _xlpm.r)+_xlpm.i-1))))), 0),
          _xlpm.b, IFERROR(_xlfn.MAKEARRAY(_xlpm.period, 1, _xlfn.LAMBDA(_xlpm.i,_xlpm.j, IF(_xlpm.i=1, SUMPRODUCT(_xlpm.MLBCount_NotGrowing, (1+_xlpm.MLBGrowth_NotGrowing)^(INDEX(_xlfn.ANCHORARRAY(AD2), _xlpm.r)+1)), IF(INDEX(_xlpm.mod, _xlpm.i)=0, SUMPRODUCT(_xlpm.MLBCount_NotGrowing, (1+_xlpm.MLBGrowth_NotGrowing)^INDEX(_xlfn.ANCHORARRAY(AC2), _xlpm.r)), 0)))), 0),
          SUM(_xlfn._xlws.FILTER(_xlpm.a, _xlpm.mod=INDEX(_xlpm.mod, _xlpm.period)), _xlfn.TAKE(_xlpm.b, -1))),
     IF(_xlpm.Activity_Type=2, IF(INDEX(_xlpm.mod, _xlpm.r)&gt;0, 0, SUM(IFERROR(SUMPRODUCT(_xlpm.MLBCount_Growing, (1+_xlpm.MLBGrowth_Growing)^INDEX(_xlfn.ANCHORARRAY(AD2), _xlpm.r)), 0), IFERROR(SUMPRODUCT(_xlpm.MLBCount_NotGrowing, (1+_xlpm.MLBGrowth_NotGrowing)^INDEX(_xlfn.ANCHORARRAY(AC2), _xlpm.r)), 0))),
     IF(_xlpm.Activity_Type=3, _xlfn.LET(_xlpm.a, IFERROR(_xlfn.MAKEARRAY(_xlpm.period, 1, _xlfn.LAMBDA(_xlpm.i,_xlpm.j, SUMPRODUCT(_xlpm.MLBCount_Growing, _xlpm.MLBGrowth_Growing, (1+_xlpm.MLBGrowth_Growing)^(INDEX(_xlfn.ANCHORARRAY(AD2), _xlpm.r)+_xlpm.i-1)))), 0), SUM(_xlfn._xlws.FILTER(_xlpm.a, _xlpm.mod=INDEX(_xlpm.mod, _xlpm.period)))), 0)))
     ),
     IF(_xlpm.Activity_Type=1, _xlfn.LET(
          _xlpm.c, _xlfn.MAKEARRAY(_xlpm.period, 1, _xlfn.LAMBDA(_xlpm.i,_xlpm.j, IF(_xlpm.i=1, _xlpm.p0*(1+_xlpm.growth)^(INDEX(_xlfn.ANCHORARRAY(AD2), _xlpm.r)+1), IF(_xlpm.growth&gt;0, _xlpm.p0*_xlpm.growth*(1+_xlpm.growth)^(INDEX(_xlfn.ANCHORARRAY(AD2), _xlpm.r)+_xlpm.i-1), IF(INDEX(_xlpm.mod, _xlpm.i)=0, _xlpm.p0*(1+_xlpm.growth)^INDEX(_xlfn.ANCHORARRAY(AC2), _xlpm.r), 0))))),
          IF(_xlpm.growth&gt;0, SUM(_xlfn._xlws.FILTER(_xlpm.c, _xlpm.mod=INDEX(_xlpm.mod, _xlpm.period))), _xlfn.TAKE(_xlpm.c, -1))),
     IF(_xlpm.Activity_Type=2, IF(INDEX(_xlpm.mod, _xlpm.r)&gt;0, 0, _xlpm.p0*(1+_xlpm.growth)^IF(_xlpm.growth&lt;0, INDEX(_xlfn.ANCHORARRAY(AC2), _xlpm.r), INDEX(_xlfn.ANCHORARRAY(AD2), _xlpm.r))),
     IF(_xlpm.Activity_Type=3, _xlfn.LET(_xlpm.c, _xlfn.MAKEARRAY(_xlpm.period, 1, _xlfn.LAMBDA(_xlpm.i,_xlpm.j, IF(_xlpm.growth&gt;0, _xlpm.p0*_xlpm.growth*(1+_xlpm.growth)^(INDEX(_xlfn.ANCHORARRAY(AD2), _xlpm.r)+_xlpm.i-1), 0))), IF(_xlpm.growth&gt;0, SUM(_xlfn._xlws.FILTER(_xlpm.c, _xlpm.mod=INDEX(_xlpm.mod, _xlpm.period))), _xlfn.TAKE(_xlpm.c, -1))), 0))))
     ),
IF(_xlpm.Activity_Type=1, IF(_xlpm.AllGroups, SUMPRODUCT(_xlpm.MLBCounts, (1+_xlpm.MLBGrowth)^INDEX(_xlfn.ANCHORARRAY(AC2), _xlpm.r)), _xlpm.p0*(1+_xlpm.growth)^INDEX(_xlfn.ANCHORARRAY(AC2), _xlpm.r)),
IF(_xlpm.Activity_Type=2, IF(_xlpm.AllGroups, SUMPRODUCT(_xlpm.MLBCounts, (1+_xlpm.MLBGrowth)^IF(_xlpm.MLBGrowth&lt;0, INDEX(_xlfn.ANCHORARRAY(AC2), _xlpm.r), INDEX(_xlfn.ANCHORARRAY(AD2), _xlpm.r))), _xlpm.p0*(1+_xlpm.growth)^IF(_xlpm.growth&lt;0, INDEX(_xlfn.ANCHORARRAY(AC2), _xlpm.r), INDEX(_xlfn.ANCHORARRAY(AD2), _xlpm.r))),
IF(_xlpm.Activity_Type=3, IF(_xlpm.AllGroups, SUMPRODUCT(_xlpm.MLBCounts, (1+IF(_xlpm.MLBGrowth&lt;0, 0, _xlpm.MLBGrowth))^INDEX(_xlfn.ANCHORARRAY(AC2), _xlpm.r)-(1+IF(_xlpm.MLBGrowth&lt;0, 0, _xlpm.MLBGrowth))^INDEX(_xlfn.ANCHORARRAY(AD2), _xlpm.r)), IF(_xlpm.growth&lt;=0, 0, _xlpm.p0*((1+_xlpm.growth)^INDEX(_xlfn.ANCHORARRAY(AC2), _xlpm.r)-(1+_xlpm.growth)^INDEX(_xlfn.ANCHORARRAY(AD2), _xlpm.r)))),
IF(_xlpm.Activity_Type=4, IF(_xlpm.AllGroups, IF(_xlpm.period=0, SUMPRODUCT(_xlpm.MLBCounts, (1+_xlpm.MLBGrowth)^INDEX(_xlfn.ANCHORARRAY(AC2), _xlpm.r)), _xlfn.LET(_xlpm.g, (1+IF(_xlpm.MLBGrowth&lt;0, 0, _xlpm.MLBGrowth)), SUMPRODUCT(_xlpm.MLBCounts, _xlpm.g^INDEX(_xlfn.ANCHORARRAY(AC2), _xlpm.r)-_xlpm.g^(INDEX(_xlfn.ANCHORARRAY(AC2), _xlpm.r-1))))), IF(_xlpm.period=0, _xlpm.p0*(1+_xlpm.growth)^INDEX(_xlfn.ANCHORARRAY(AC2), _xlpm.r), IF(_xlpm.growth&lt;0, 0, _xlpm.p0*((1+_xlpm.growth)^INDEX(_xlfn.ANCHORARRAY(AC2), _xlpm.r)-(1+_xlpm.growth)^INDEX(_xlfn.ANCHORARRAY(AC2), _xlpm.r-1))))),
IF(_xlpm.Activity_Type=5, IF(_xlpm.AllGroups, IF(_xlpm.period&gt;0, 0, SUMPRODUCT(_xlpm.MLBCounts, (1+_xlpm.MLBGrowth)^INDEX(_xlfn.ANCHORARRAY(AC2), _xlpm.r))), IF(_xlpm.period&gt;0, 0, _xlpm.p0*(1+_xlpm.growth)^INDEX(_xlfn.ANCHORARRAY(AC2), _xlpm.r))),
IF(_xlpm.Activity_Type=6, IF(_xlpm.AllGroups, IF(_xlpm.period=0, 0, _xlfn.LET(_xlpm.g, (1+IF(_xlpm.MLBGrowth&lt;0, 0, _xlpm.MLBGrowth)), SUMPRODUCT(_xlpm.MLBCounts, _xlpm.g^INDEX(_xlfn.ANCHORARRAY(AC2), _xlpm.r)-_xlpm.g^(INDEX(_xlfn.ANCHORARRAY(AC2), _xlpm.r-1))))), IF(_xlpm.period=0, 0, IF(_xlpm.growth&lt;0, 0, _xlpm.p0*((1+_xlpm.growth)^INDEX(_xlfn.ANCHORARRAY(AC2), _xlpm.r)-(1+_xlpm.growth)^INDEX(_xlfn.ANCHORARRAY(AC2), _xlpm.r-1))))),
0))))))), ""))))))</f>
        <v/>
      </c>
      <c r="M2" s="252" cm="1">
        <f t="array" ref="M2">IFERROR(_xlfn.LET(
     _xlpm.InternalExternal, IF(INDEX(tbl_Activities[Labour: Internal or External Overhead],_xlfn.ANCHORARRAY( A2))="Internal (25%)",0.25, IF(INDEX(tbl_Activities[Labour: Internal or External Overhead],_xlfn.ANCHORARRAY( A2))="External (50%)", 0.5, 0)),
     _xlpm.CapitalLabour, INDEX(tbl_Activities[Capital or Labour],_xlfn.ANCHORARRAY( A2)),
     _xlpm.StaffLevel, LEFT(INDEX(tbl_Activities[Labour: Staff Level (Wage Without Overhead)],_xlfn.ANCHORARRAY(A2)), 2),
     _xlpm.StaffWage,_xlfn.XLOOKUP(_xlpm.StaffLevel,LEFT(_xlfn.ANCHORARRAY(Controls!I2), 2),_xlfn.ANCHORARRAY(Controls!J2),"Error3",0,1),
     _xlpm.InOut,IF(INDEX(tbl_Activities[In or Out],_xlfn.ANCHORARRAY( A2))="In",1,-1),
_xlpm.InOut*IF(_xlpm.CapitalLabour="Labour",_xlpm.StaffWage*(1+_xlpm.InternalExternal)*INDEX(tbl_Activities[Labour: Time Spent (hours)],_xlfn.ANCHORARRAY(A2)),INDEX(tbl_Activities[Capital: Number of Units],_xlfn.ANCHORARRAY( A2))*INDEX(tbl_Activities[Capital: Unit Price],_xlfn.ANCHORARRAY( A2))
     *INDEX(tbl_CPI[Index], MATCH(PriceYear, tbl_CPI[Year], 0))/INDEX(tbl_CPI[Index], MATCH(INDEX(tbl_Activities[Capital: Price Year of Unit Price],_xlfn.ANCHORARRAY( A2)), tbl_CPI[Year], 0))
 )), 0)</f>
        <v>0</v>
      </c>
      <c r="N2" s="252" cm="1">
        <f t="array" ref="N2">_xlfn.LET(
     _xlpm.AffectedNonBusinesses, _xlfn.TAKE(_xlfn.DROP(J:J,MATCH(J$1,J:J,0)),_xlfn.XMATCH(,_xlfn.DROP(J:J,MATCH(J$1,J:J,0)))-1),
IFERROR(_xlfn.ANCHORARRAY(M2)*_xlpm.AffectedNonBusinesses, 0))</f>
        <v>0</v>
      </c>
      <c r="O2" s="252" cm="1">
        <f t="array" ref="O2">_xlfn.LET(
     _xlpm.AffectedSmallBusinesses, _xlfn.TAKE(_xlfn.DROP(K:K,MATCH(K$1,K:K,0)),_xlfn.XMATCH(,_xlfn.DROP(K:K,MATCH(K$1,K:K,0)))-1),
IFERROR(_xlfn.ANCHORARRAY(M2)*_xlpm.AffectedSmallBusinesses, 0))</f>
        <v>0</v>
      </c>
      <c r="P2" s="252" cm="1">
        <f t="array" ref="P2">_xlfn.LET(
     _xlpm.AffectedMedLargeBusinesses, _xlfn.TAKE(_xlfn.DROP(L:L,MATCH(L$1,L:L,0)),_xlfn.XMATCH(,_xlfn.DROP(L:L,MATCH(L$1,L:L,0)))-1),
IFERROR(_xlfn.ANCHORARRAY(M2)*_xlpm.AffectedMedLargeBusinesses, 0))</f>
        <v>0</v>
      </c>
      <c r="Q2" s="252" cm="1">
        <f t="array" ref="Q2">IFERROR(_xlfn.ANCHORARRAY($O$2)+_xlfn.ANCHORARRAY($P$2),0)</f>
        <v>0</v>
      </c>
      <c r="R2" s="252" cm="1">
        <f t="array" ref="R2">IFERROR(_xlfn.ANCHORARRAY($Q$2)+_xlfn.ANCHORARRAY($N$2), 0)</f>
        <v>0</v>
      </c>
      <c r="S2" s="252" cm="1">
        <f t="array" ref="S2">IFERROR(_xlfn.ANCHORARRAY($N$2)/(1+Discount)^_xlfn.ANCHORARRAY($AE$2),0)</f>
        <v>0</v>
      </c>
      <c r="T2" s="252" cm="1">
        <f t="array" ref="T2">IFERROR(_xlfn.ANCHORARRAY($O$2)/(1+Discount)^_xlfn.ANCHORARRAY($AE$2),0)</f>
        <v>0</v>
      </c>
      <c r="U2" s="252" cm="1">
        <f t="array" ref="U2">IFERROR(_xlfn.ANCHORARRAY(P2)/(1+Discount)^_xlfn.ANCHORARRAY($AE$2),0)</f>
        <v>0</v>
      </c>
      <c r="V2" s="252" cm="1">
        <f t="array" ref="V2">IFERROR(_xlfn.ANCHORARRAY($T$2)+_xlfn.ANCHORARRAY($U$2), 0)</f>
        <v>0</v>
      </c>
      <c r="W2" s="252" cm="1">
        <f t="array" ref="W2">IFERROR(_xlfn.ANCHORARRAY($V$2)+_xlfn.ANCHORARRAY($S$2), 0)</f>
        <v>0</v>
      </c>
      <c r="X2" s="252" cm="1">
        <f t="array" ref="X2">IFERROR(--(_xlfn.ANCHORARRAY($C$2)="Administrative")*(_xlfn.ANCHORARRAY($O$2)+_xlfn.ANCHORARRAY($P$2))/(1.07)^_xlfn.ANCHORARRAY($AE$2), 0)</f>
        <v>0</v>
      </c>
      <c r="Y2" s="3"/>
      <c r="Z2" s="27" t="str" cm="1">
        <f t="array" ref="Z2">IFERROR(INDEX(tbl_Activities[Start Year],_xlfn.ANCHORARRAY( $A$2)), "")</f>
        <v/>
      </c>
      <c r="AA2" t="str" cm="1">
        <f t="array" ref="AA2">IFERROR(INDEX(tbl_Activities[Affected Stakeholder Type],_xlfn.ANCHORARRAY( A2)), "")</f>
        <v/>
      </c>
      <c r="AB2" s="252" t="str" cm="1">
        <f t="array" ref="AB2">IFERROR(INDEX(ActivityType,_xlfn.ANCHORARRAY( A2)), "")</f>
        <v/>
      </c>
      <c r="AC2" s="252" t="str" cm="1">
        <f t="array" ref="AC2">IFERROR(
_xlfn.LET(_xlpm.x,_xlfn.ANCHORARRAY( F2)/_xlfn.BYROW(_xlfn.ANCHORARRAY(G2), _xlfn.LAMBDA(_xlpm.row, MAX(_xlpm.row, 1))),
IF(_xlfn.ANCHORARRAY(Z2)="Start of Analytical Period", _xlpm.x,
IF(_xlfn.ANCHORARRAY(Z2)="End of Analytical Period", Time-1+_xlpm.x,_xlfn.ANCHORARRAY(
Z2)-YearOfRegistration+_xlpm.x))),
"")</f>
        <v/>
      </c>
      <c r="AD2" s="252" t="str" cm="1">
        <f t="array" ref="AD2">IFERROR(
IF(_xlfn.ANCHORARRAY(Z2)="Start of Analytical Period", 0,
IF(_xlfn.ANCHORARRAY(Z2)="End of Analytical Period", Time-1,_xlfn.ANCHORARRAY(
Z2)-YearOfRegistration)),
"")</f>
        <v/>
      </c>
      <c r="AE2" s="252" t="str" cm="1">
        <f t="array" ref="AE2">IFERROR(
_xlfn.LET(_xlpm.x,_xlfn.ANCHORARRAY( $F$2)/_xlfn.BYROW(_xlfn.ANCHORARRAY($G$2), _xlfn.LAMBDA(_xlpm.row, MAX(_xlpm.row, 1))),
IF(_xlfn.ANCHORARRAY(Z2)="Start of Analytical Period", (YearOfRegistration-PVBaseYear)+_xlpm.x,
IF(_xlfn.ANCHORARRAY(Z2)="End of Analytical Period", (YearOfRegistration-PVBaseYear)+Time-1+_xlpm.x,_xlfn.ANCHORARRAY(
Z2)-PVBaseYear+_xlpm.x))),
"")</f>
        <v/>
      </c>
      <c r="AF2" s="252" t="str" cm="1">
        <f t="array" ref="AF2">_xlfn.LET(
_xlpm.FilteredStakeholders, _xlfn._xlws.FILTER(tbl_Stakeholders[Stakeholder Group], tbl_Stakeholders[Stakeholder Group]&lt;&gt;""),
IFERROR(MATCH(INDEX(tbl_Activities[Affected Stakeholder Group],_xlfn.ANCHORARRAY( $A$2)), _xlpm.FilteredStakeholders, 0), ""))</f>
        <v/>
      </c>
      <c r="AI2" cm="1">
        <f t="array" ref="AI2">IFERROR(_xlfn.LET(_xlpm.x,_xlfn.ANCHORARRAY( R2)*_xlfn.MAKEARRAY(ROWS(_xlfn.ANCHORARRAY(A2)),StakeholderCols,_xlfn.LAMBDA(_xlpm.r,_xlpm.c, _xlfn.LET(
_xlpm.OneGroup, NOT(INDEX(_xlfn.ANCHORARRAY(H2), _xlpm.r)="All Groups"),
_xlpm.ThisGroup, IF(_xlpm.c=INDEX(_xlfn.ANCHORARRAY(AF2), _xlpm.r), 1, 0),
IF(_xlpm.OneGroup, _xlpm.ThisGroup,
_xlfn.LET(
_xlpm.Stakeholder_Type, INDEX(_xlfn.ANCHORARRAY(AA2), _xlpm.r),
_xlpm.AllBusinesses, _xlpm.Stakeholder_Type="All Businesses",
_xlpm.MedLargeBusinesses, _xlpm.Stakeholder_Type="Med/Large Businesses",
_xlpm.SmallBusinesses, _xlpm.Stakeholder_Type="Small Businesses",
_xlpm.NonBusinesseses, _xlpm.Stakeholder_Type="All Non-businesses",
_xlpm.Exp_SC, INDEX(_xlfn.ANCHORARRAY(AC2), _xlpm.r),
_xlpm.nbC, INDEX(_xlfn._xlws.FILTER(tbl_Stakeholders[Non-business Count], tbl_Stakeholders[Stakeholder Group]&lt;&gt;""), _xlpm.c),
_xlpm.nbG, INDEX(_xlfn._xlws.FILTER(tbl_Stakeholders[Non-business Growth Rate], tbl_Stakeholders[Stakeholder Group]&lt;&gt;""), _xlpm.c),
_xlpm.sbC, INDEX(_xlfn._xlws.FILTER(tbl_Stakeholders[Small Business Count], tbl_Stakeholders[Stakeholder Group]&lt;&gt;""), _xlpm.c),
_xlpm.sbG, INDEX(_xlfn._xlws.FILTER(tbl_Stakeholders[Small Business Growth Rate], tbl_Stakeholders[Stakeholder Group]&lt;&gt;""), _xlpm.c),
_xlpm.mlbC, INDEX(_xlfn._xlws.FILTER(tbl_Stakeholders[Med/Large Business Count], tbl_Stakeholders[Stakeholder Group]&lt;&gt;""), _xlpm.c),
_xlpm.mlbG, INDEX(_xlfn._xlws.FILTER(tbl_Stakeholders[Med/Large Business Growth Rate], tbl_Stakeholders[Stakeholder Group]&lt;&gt;""), _xlpm.c),
_xlpm.Counts,
     IF(_xlpm.AllBusinesses, _xlfn.VSTACK(_xlpm.sbC, _xlpm.mlbC),
     IF(_xlpm.MedLargeBusinesses, _xlpm.mlbC,
     IF(_xlpm.SmallBusinesses, _xlpm.sbC,
     IF(_xlpm.NonBusinesseses, _xlpm.nbC,
     _xlfn.VSTACK(_xlpm.nbC, _xlpm.sbC, _xlpm.mlbC))))),
_xlpm.Growths,
     IF(_xlpm.AllBusinesses, _xlfn.VSTACK(_xlpm.sbG, _xlpm.mlbG),
     IF(_xlpm.MedLargeBusinesses, _xlpm.mlbG,
     IF(_xlpm.SmallBusinesses, _xlpm.sbG,
     IF(_xlpm.NonBusinesseses, _xlpm.nbG,
     _xlfn.VSTACK(_xlpm.nbG, _xlpm.sbG, _xlpm.mlbG))))),
_xlpm.StakeholderWeightDenominator,
     IF(_xlpm.AllBusinesses, SUMPRODUCT(tbl_Stakeholders[Small Business Count], (1+tbl_Stakeholders[Small Business Growth Rate])^_xlpm.Exp_SC) + SUMPRODUCT(tbl_Stakeholders[Med/Large Business Count], (1+tbl_Stakeholders[Med/Large Business Growth Rate])^_xlpm.Exp_SC),
     IF(_xlpm.MedLargeBusinesses, SUMPRODUCT(tbl_Stakeholders[Med/Large Business Count], (1+tbl_Stakeholders[Med/Large Business Growth Rate])^_xlpm.Exp_SC),
     IF(_xlpm.SmallBusinesses, SUMPRODUCT(tbl_Stakeholders[Small Business Count], (1+tbl_Stakeholders[Small Business Growth Rate])^_xlpm.Exp_SC),
     IF(_xlpm.NonBusinesseses, SUMPRODUCT(tbl_Stakeholders[Non-business Count], (1+tbl_Stakeholders[Non-business Growth Rate])^_xlpm.Exp_SC),
     SUM(SUMPRODUCT(tbl_Stakeholders[Non-business Count], (1+tbl_Stakeholders[Non-business Growth Rate])^INDEX(_xlfn.ANCHORARRAY(AC2), _xlpm.r)), SUMPRODUCT(tbl_Stakeholders[Small Business Count], (1+tbl_Stakeholders[Small Business Growth Rate])^INDEX(_xlfn.ANCHORARRAY(AC2), _xlpm.r)), SUMPRODUCT(tbl_Stakeholders[Med/Large Business Count], (1+tbl_Stakeholders[Med/Large Business Growth Rate])^INDEX(_xlfn.ANCHORARRAY(AC2), _xlpm.r))))))),
SUM(_xlpm.Counts*(1+_xlpm.Growths)^_xlpm.Exp_SC)/_xlpm.StakeholderWeightDenominator))))),
_xlfn.HSTACK(_xlpm.x, _xlpm.x/(1+Discount)^_xlfn.ANCHORARRAY(AE2))), 0)</f>
        <v>0</v>
      </c>
    </row>
    <row r="3" spans="1:35" x14ac:dyDescent="0.3">
      <c r="A3" s="250"/>
      <c r="B3" s="250"/>
      <c r="C3" s="250"/>
      <c r="D3" s="250"/>
      <c r="E3" s="250"/>
      <c r="F3" s="251"/>
      <c r="G3" s="251"/>
      <c r="H3" s="250"/>
      <c r="I3" s="255"/>
      <c r="J3" s="256"/>
      <c r="K3" s="256"/>
      <c r="L3" s="256"/>
      <c r="M3" s="252"/>
      <c r="N3" s="252"/>
      <c r="O3" s="252"/>
      <c r="P3" s="252"/>
      <c r="Q3" s="252"/>
      <c r="R3" s="252"/>
      <c r="S3" s="252"/>
      <c r="T3" s="252"/>
      <c r="U3" s="252"/>
      <c r="V3" s="252"/>
      <c r="W3" s="252"/>
      <c r="X3" s="252"/>
      <c r="AB3" s="252"/>
      <c r="AC3" s="252"/>
      <c r="AD3" s="252"/>
      <c r="AE3" s="252"/>
      <c r="AF3" s="252"/>
    </row>
    <row r="4" spans="1:35" x14ac:dyDescent="0.3">
      <c r="A4" s="250"/>
      <c r="B4" s="250"/>
      <c r="C4" s="250"/>
      <c r="D4" s="250"/>
      <c r="E4" s="250"/>
      <c r="F4" s="251"/>
      <c r="G4" s="251"/>
      <c r="H4" s="250"/>
      <c r="I4" s="255"/>
      <c r="J4" s="256"/>
      <c r="K4" s="256"/>
      <c r="L4" s="256"/>
      <c r="M4" s="252"/>
      <c r="N4" s="252"/>
      <c r="O4" s="252"/>
      <c r="P4" s="252"/>
      <c r="Q4" s="252"/>
      <c r="R4" s="252"/>
      <c r="S4" s="252"/>
      <c r="T4" s="252"/>
      <c r="U4" s="252"/>
      <c r="V4" s="252"/>
      <c r="W4" s="252"/>
      <c r="X4" s="252"/>
      <c r="AB4" s="252"/>
      <c r="AC4" s="252"/>
      <c r="AD4" s="252"/>
      <c r="AE4" s="252"/>
      <c r="AF4" s="252"/>
    </row>
    <row r="5" spans="1:35" x14ac:dyDescent="0.3">
      <c r="A5" s="250"/>
      <c r="B5" s="250"/>
      <c r="C5" s="250"/>
      <c r="D5" s="250"/>
      <c r="E5" s="250"/>
      <c r="F5" s="251"/>
      <c r="G5" s="251"/>
      <c r="H5" s="250"/>
      <c r="I5" s="255"/>
      <c r="J5" s="256"/>
      <c r="K5" s="256"/>
      <c r="L5" s="256"/>
      <c r="M5" s="252"/>
      <c r="N5" s="252"/>
      <c r="O5" s="252"/>
      <c r="P5" s="252"/>
      <c r="Q5" s="252"/>
      <c r="R5" s="252"/>
      <c r="S5" s="252"/>
      <c r="T5" s="252"/>
      <c r="U5" s="252"/>
      <c r="V5" s="252"/>
      <c r="W5" s="252"/>
      <c r="X5" s="252"/>
      <c r="AB5" s="252"/>
      <c r="AC5" s="252"/>
      <c r="AD5" s="252"/>
      <c r="AE5" s="252"/>
      <c r="AF5" s="252"/>
    </row>
    <row r="6" spans="1:35" x14ac:dyDescent="0.3">
      <c r="A6" s="250"/>
      <c r="B6" s="250"/>
      <c r="C6" s="250"/>
      <c r="D6" s="250"/>
      <c r="E6" s="250"/>
      <c r="F6" s="251"/>
      <c r="G6" s="251"/>
      <c r="H6" s="250"/>
      <c r="I6" s="255"/>
      <c r="J6" s="256"/>
      <c r="K6" s="256"/>
      <c r="L6" s="256"/>
      <c r="M6" s="252"/>
      <c r="N6" s="252"/>
      <c r="O6" s="252"/>
      <c r="P6" s="252"/>
      <c r="Q6" s="252"/>
      <c r="R6" s="252"/>
      <c r="S6" s="252"/>
      <c r="T6" s="252"/>
      <c r="U6" s="252"/>
      <c r="V6" s="252"/>
      <c r="W6" s="252"/>
      <c r="X6" s="252"/>
      <c r="AA6" s="257"/>
      <c r="AB6" s="252"/>
      <c r="AC6" s="252"/>
      <c r="AD6" s="252"/>
      <c r="AE6" s="252"/>
      <c r="AF6" s="252"/>
    </row>
    <row r="7" spans="1:35" x14ac:dyDescent="0.3">
      <c r="A7" s="250"/>
      <c r="B7" s="250"/>
      <c r="C7" s="250"/>
      <c r="D7" s="250"/>
      <c r="E7" s="250"/>
      <c r="F7" s="250"/>
      <c r="G7" s="250"/>
      <c r="H7" s="250"/>
      <c r="I7" s="250"/>
      <c r="J7" s="252"/>
      <c r="K7" s="252"/>
      <c r="L7" s="252"/>
      <c r="M7" s="252"/>
      <c r="N7" s="252"/>
      <c r="O7" s="252"/>
      <c r="P7" s="252"/>
      <c r="Q7" s="252"/>
      <c r="R7" s="252"/>
      <c r="S7" s="252"/>
      <c r="T7" s="252"/>
      <c r="U7" s="252"/>
      <c r="V7" s="252"/>
      <c r="W7" s="252"/>
      <c r="X7" s="252"/>
      <c r="AB7" s="252"/>
      <c r="AC7" s="252"/>
      <c r="AD7" s="252"/>
      <c r="AE7" s="252"/>
      <c r="AF7" s="252"/>
    </row>
    <row r="8" spans="1:35" x14ac:dyDescent="0.3">
      <c r="A8" s="250"/>
      <c r="B8" s="250"/>
      <c r="C8" s="250"/>
      <c r="D8" s="250"/>
      <c r="E8" s="250"/>
      <c r="F8" s="251"/>
      <c r="G8" s="251"/>
      <c r="H8" s="250"/>
      <c r="I8" s="255"/>
      <c r="J8" s="256"/>
      <c r="K8" s="256"/>
      <c r="L8" s="256"/>
      <c r="M8" s="252"/>
      <c r="N8" s="252"/>
      <c r="O8" s="252"/>
      <c r="P8" s="252"/>
      <c r="Q8" s="252"/>
      <c r="R8" s="252"/>
      <c r="S8" s="252"/>
      <c r="T8" s="252"/>
      <c r="U8" s="252"/>
      <c r="V8" s="252"/>
      <c r="W8" s="252"/>
      <c r="X8" s="252"/>
      <c r="AB8" s="252"/>
      <c r="AC8" s="252"/>
      <c r="AD8" s="252"/>
      <c r="AE8" s="252"/>
      <c r="AF8" s="252"/>
    </row>
    <row r="9" spans="1:35" x14ac:dyDescent="0.3">
      <c r="A9" s="250"/>
      <c r="B9" s="250"/>
      <c r="C9" s="250"/>
      <c r="D9" s="250"/>
      <c r="E9" s="250"/>
      <c r="F9" s="251"/>
      <c r="G9" s="251"/>
      <c r="H9" s="250"/>
      <c r="I9" s="255"/>
      <c r="J9" s="256"/>
      <c r="K9" s="256"/>
      <c r="L9" s="256"/>
      <c r="M9" s="252"/>
      <c r="N9" s="252"/>
      <c r="O9" s="252"/>
      <c r="P9" s="252"/>
      <c r="Q9" s="252"/>
      <c r="R9" s="252"/>
      <c r="S9" s="252"/>
      <c r="T9" s="252"/>
      <c r="U9" s="252"/>
      <c r="V9" s="252"/>
      <c r="W9" s="252"/>
      <c r="X9" s="252"/>
      <c r="AB9" s="252"/>
      <c r="AC9" s="252"/>
      <c r="AD9" s="252"/>
      <c r="AE9" s="252"/>
      <c r="AF9" s="252"/>
    </row>
    <row r="10" spans="1:35" x14ac:dyDescent="0.3">
      <c r="A10" s="250"/>
      <c r="B10" s="250"/>
      <c r="C10" s="250"/>
      <c r="D10" s="250"/>
      <c r="E10" s="250"/>
      <c r="F10" s="251"/>
      <c r="G10" s="251"/>
      <c r="H10" s="250"/>
      <c r="I10" s="255"/>
      <c r="J10" s="256"/>
      <c r="K10" s="256"/>
      <c r="L10" s="256"/>
      <c r="M10" s="252"/>
      <c r="N10" s="252"/>
      <c r="O10" s="252"/>
      <c r="P10" s="252"/>
      <c r="Q10" s="252"/>
      <c r="R10" s="252"/>
      <c r="S10" s="252"/>
      <c r="T10" s="252"/>
      <c r="U10" s="252"/>
      <c r="V10" s="252"/>
      <c r="W10" s="252"/>
      <c r="X10" s="252"/>
      <c r="AB10" s="252"/>
      <c r="AC10" s="252"/>
      <c r="AD10" s="252"/>
      <c r="AE10" s="252"/>
      <c r="AF10" s="252"/>
    </row>
    <row r="11" spans="1:35" x14ac:dyDescent="0.3">
      <c r="A11" s="250"/>
      <c r="B11" s="250"/>
      <c r="C11" s="250"/>
      <c r="D11" s="250"/>
      <c r="E11" s="250"/>
      <c r="F11" s="251"/>
      <c r="G11" s="251"/>
      <c r="H11" s="250"/>
      <c r="I11" s="255"/>
      <c r="J11" s="256"/>
      <c r="K11" s="256"/>
      <c r="L11" s="256"/>
      <c r="M11" s="252"/>
      <c r="N11" s="252"/>
      <c r="O11" s="252"/>
      <c r="P11" s="252"/>
      <c r="Q11" s="252"/>
      <c r="R11" s="252"/>
      <c r="S11" s="252"/>
      <c r="T11" s="252"/>
      <c r="U11" s="252"/>
      <c r="V11" s="252"/>
      <c r="W11" s="252"/>
      <c r="X11" s="252"/>
      <c r="AB11" s="252"/>
      <c r="AC11" s="252"/>
      <c r="AD11" s="252"/>
      <c r="AE11" s="252"/>
      <c r="AF11" s="252"/>
    </row>
    <row r="12" spans="1:35" x14ac:dyDescent="0.3">
      <c r="A12" s="250"/>
      <c r="B12" s="250"/>
      <c r="C12" s="250"/>
      <c r="D12" s="250"/>
      <c r="E12" s="250"/>
      <c r="F12" s="250"/>
      <c r="G12" s="250"/>
      <c r="H12" s="250"/>
      <c r="I12" s="250"/>
      <c r="J12" s="252"/>
      <c r="K12" s="252"/>
      <c r="L12" s="252"/>
      <c r="M12" s="252"/>
      <c r="N12" s="252"/>
      <c r="O12" s="252"/>
      <c r="P12" s="252"/>
      <c r="Q12" s="252"/>
      <c r="R12" s="252"/>
      <c r="S12" s="252"/>
      <c r="T12" s="252"/>
      <c r="U12" s="252"/>
      <c r="V12" s="252"/>
      <c r="W12" s="252"/>
      <c r="X12" s="252"/>
      <c r="AB12" s="252"/>
      <c r="AC12" s="252"/>
      <c r="AD12" s="252"/>
      <c r="AE12" s="252"/>
      <c r="AF12" s="252"/>
    </row>
    <row r="13" spans="1:35" x14ac:dyDescent="0.3">
      <c r="A13" s="250"/>
      <c r="B13" s="250"/>
      <c r="C13" s="250"/>
      <c r="D13" s="250"/>
      <c r="E13" s="250"/>
      <c r="F13" s="250"/>
      <c r="G13" s="250"/>
      <c r="H13" s="250"/>
      <c r="I13" s="250"/>
      <c r="J13" s="252"/>
      <c r="K13" s="252"/>
      <c r="L13" s="252"/>
      <c r="M13" s="252"/>
      <c r="N13" s="252"/>
      <c r="O13" s="252"/>
      <c r="P13" s="252"/>
      <c r="Q13" s="252"/>
      <c r="R13" s="252"/>
      <c r="S13" s="252"/>
      <c r="T13" s="252"/>
      <c r="U13" s="252"/>
      <c r="V13" s="252"/>
      <c r="W13" s="252"/>
      <c r="X13" s="252"/>
      <c r="AB13" s="252"/>
      <c r="AC13" s="252"/>
      <c r="AD13" s="252"/>
      <c r="AE13" s="252"/>
      <c r="AF13" s="252"/>
    </row>
    <row r="14" spans="1:35" x14ac:dyDescent="0.3">
      <c r="A14" s="250"/>
      <c r="B14" s="250"/>
      <c r="C14" s="250"/>
      <c r="D14" s="250"/>
      <c r="E14" s="250"/>
      <c r="F14" s="250"/>
      <c r="G14" s="250"/>
      <c r="H14" s="250"/>
      <c r="I14" s="250"/>
      <c r="J14" s="252"/>
      <c r="K14" s="252"/>
      <c r="L14" s="252"/>
      <c r="M14" s="252"/>
      <c r="N14" s="252"/>
      <c r="O14" s="252"/>
      <c r="P14" s="252"/>
      <c r="Q14" s="252"/>
      <c r="R14" s="252"/>
      <c r="S14" s="252"/>
      <c r="T14" s="252"/>
      <c r="U14" s="252"/>
      <c r="V14" s="252"/>
      <c r="W14" s="252"/>
      <c r="X14" s="252"/>
      <c r="AB14" s="252"/>
      <c r="AC14" s="252"/>
      <c r="AD14" s="252"/>
      <c r="AE14" s="252"/>
      <c r="AF14" s="252"/>
    </row>
    <row r="15" spans="1:35" x14ac:dyDescent="0.3">
      <c r="A15" s="250"/>
      <c r="B15" s="250"/>
      <c r="C15" s="250"/>
      <c r="D15" s="250"/>
      <c r="E15" s="250"/>
      <c r="F15" s="250"/>
      <c r="G15" s="250"/>
      <c r="H15" s="250"/>
      <c r="I15" s="250"/>
      <c r="J15" s="252"/>
      <c r="K15" s="252"/>
      <c r="L15" s="252"/>
      <c r="M15" s="252"/>
      <c r="N15" s="252"/>
      <c r="O15" s="252"/>
      <c r="P15" s="252"/>
      <c r="Q15" s="252"/>
      <c r="R15" s="252"/>
      <c r="S15" s="252"/>
      <c r="T15" s="252"/>
      <c r="U15" s="252"/>
      <c r="V15" s="252"/>
      <c r="W15" s="252"/>
      <c r="X15" s="252"/>
      <c r="AB15" s="252"/>
      <c r="AC15" s="252"/>
      <c r="AD15" s="252"/>
      <c r="AE15" s="252"/>
      <c r="AF15" s="252"/>
    </row>
    <row r="16" spans="1:35" x14ac:dyDescent="0.3">
      <c r="A16" s="250"/>
      <c r="B16" s="250"/>
      <c r="C16" s="250"/>
      <c r="D16" s="250"/>
      <c r="E16" s="250"/>
      <c r="F16" s="250"/>
      <c r="G16" s="250"/>
      <c r="H16" s="250"/>
      <c r="I16" s="250"/>
      <c r="J16" s="252"/>
      <c r="K16" s="252"/>
      <c r="L16" s="252"/>
      <c r="M16" s="252"/>
      <c r="N16" s="252"/>
      <c r="O16" s="252"/>
      <c r="P16" s="252"/>
      <c r="Q16" s="252"/>
      <c r="R16" s="252"/>
      <c r="S16" s="252"/>
      <c r="T16" s="252"/>
      <c r="U16" s="252"/>
      <c r="V16" s="252"/>
      <c r="W16" s="252"/>
      <c r="X16" s="252"/>
      <c r="AB16" s="252"/>
      <c r="AC16" s="252"/>
      <c r="AD16" s="252"/>
      <c r="AE16" s="252"/>
      <c r="AF16" s="252"/>
    </row>
    <row r="17" spans="1:32" x14ac:dyDescent="0.3">
      <c r="A17" s="250"/>
      <c r="B17" s="250"/>
      <c r="C17" s="250"/>
      <c r="D17" s="250"/>
      <c r="E17" s="250"/>
      <c r="F17" s="250"/>
      <c r="G17" s="250"/>
      <c r="H17" s="250"/>
      <c r="I17" s="250"/>
      <c r="J17" s="252"/>
      <c r="K17" s="252"/>
      <c r="L17" s="252"/>
      <c r="M17" s="252"/>
      <c r="N17" s="252"/>
      <c r="O17" s="252"/>
      <c r="P17" s="252"/>
      <c r="Q17" s="252"/>
      <c r="R17" s="252"/>
      <c r="S17" s="252"/>
      <c r="T17" s="252"/>
      <c r="U17" s="252"/>
      <c r="V17" s="252"/>
      <c r="W17" s="252"/>
      <c r="X17" s="252"/>
      <c r="AB17" s="252"/>
      <c r="AC17" s="252"/>
      <c r="AD17" s="252"/>
      <c r="AE17" s="252"/>
      <c r="AF17" s="252"/>
    </row>
    <row r="18" spans="1:32" x14ac:dyDescent="0.3">
      <c r="A18" s="250"/>
      <c r="B18" s="250"/>
      <c r="C18" s="250"/>
      <c r="D18" s="250"/>
      <c r="E18" s="250"/>
      <c r="F18" s="250"/>
      <c r="G18" s="250"/>
      <c r="H18" s="250"/>
      <c r="I18" s="250"/>
      <c r="J18" s="252"/>
      <c r="K18" s="252"/>
      <c r="L18" s="252"/>
      <c r="M18" s="252"/>
      <c r="N18" s="252"/>
      <c r="O18" s="252"/>
      <c r="P18" s="252"/>
      <c r="Q18" s="252"/>
      <c r="R18" s="252"/>
      <c r="S18" s="252"/>
      <c r="T18" s="252"/>
      <c r="U18" s="252"/>
      <c r="V18" s="252"/>
      <c r="W18" s="252"/>
      <c r="X18" s="252"/>
      <c r="AB18" s="252"/>
      <c r="AC18" s="252"/>
      <c r="AD18" s="252"/>
      <c r="AE18" s="252"/>
      <c r="AF18" s="252"/>
    </row>
    <row r="19" spans="1:32" x14ac:dyDescent="0.3">
      <c r="A19" s="250"/>
      <c r="B19" s="250"/>
      <c r="C19" s="250"/>
      <c r="D19" s="250"/>
      <c r="E19" s="250"/>
      <c r="F19" s="250"/>
      <c r="G19" s="250"/>
      <c r="H19" s="250"/>
      <c r="I19" s="250"/>
      <c r="J19" s="252"/>
      <c r="K19" s="252"/>
      <c r="L19" s="252"/>
      <c r="M19" s="252"/>
      <c r="N19" s="252"/>
      <c r="O19" s="252"/>
      <c r="P19" s="252"/>
      <c r="Q19" s="252"/>
      <c r="R19" s="252"/>
      <c r="S19" s="252"/>
      <c r="T19" s="252"/>
      <c r="U19" s="252"/>
      <c r="V19" s="252"/>
      <c r="W19" s="252"/>
      <c r="X19" s="252"/>
      <c r="AB19" s="252"/>
      <c r="AC19" s="252"/>
      <c r="AD19" s="252"/>
      <c r="AE19" s="252"/>
      <c r="AF19" s="252"/>
    </row>
    <row r="20" spans="1:32" x14ac:dyDescent="0.3">
      <c r="A20" s="250"/>
      <c r="B20" s="250"/>
      <c r="C20" s="250"/>
      <c r="D20" s="250"/>
      <c r="E20" s="250"/>
      <c r="F20" s="250"/>
      <c r="G20" s="250"/>
      <c r="H20" s="250"/>
      <c r="I20" s="250"/>
      <c r="J20" s="252"/>
      <c r="K20" s="252"/>
      <c r="L20" s="252"/>
      <c r="M20" s="252"/>
      <c r="N20" s="252"/>
      <c r="O20" s="252"/>
      <c r="P20" s="252"/>
      <c r="Q20" s="252"/>
      <c r="R20" s="252"/>
      <c r="S20" s="252"/>
      <c r="T20" s="252"/>
      <c r="U20" s="252"/>
      <c r="V20" s="252"/>
      <c r="W20" s="252"/>
      <c r="X20" s="252"/>
      <c r="AB20" s="252"/>
      <c r="AC20" s="252"/>
      <c r="AD20" s="252"/>
      <c r="AE20" s="252"/>
      <c r="AF20" s="252"/>
    </row>
    <row r="21" spans="1:32" x14ac:dyDescent="0.3">
      <c r="A21" s="250"/>
      <c r="B21" s="250"/>
      <c r="C21" s="250"/>
      <c r="D21" s="250"/>
      <c r="E21" s="250"/>
      <c r="F21" s="250"/>
      <c r="G21" s="250"/>
      <c r="H21" s="250"/>
      <c r="I21" s="250"/>
      <c r="J21" s="252"/>
      <c r="K21" s="252"/>
      <c r="L21" s="252"/>
      <c r="M21" s="252"/>
      <c r="N21" s="252"/>
      <c r="O21" s="252"/>
      <c r="P21" s="252"/>
      <c r="Q21" s="252"/>
      <c r="R21" s="252"/>
      <c r="S21" s="252"/>
      <c r="T21" s="252"/>
      <c r="U21" s="252"/>
      <c r="V21" s="252"/>
      <c r="W21" s="252"/>
      <c r="X21" s="252"/>
      <c r="AB21" s="252"/>
      <c r="AC21" s="252"/>
      <c r="AD21" s="252"/>
      <c r="AE21" s="252"/>
      <c r="AF21" s="252"/>
    </row>
    <row r="22" spans="1:32" x14ac:dyDescent="0.3">
      <c r="A22" s="250"/>
      <c r="B22" s="250"/>
      <c r="C22" s="250"/>
      <c r="D22" s="250"/>
      <c r="E22" s="250"/>
      <c r="F22" s="250"/>
      <c r="G22" s="250"/>
      <c r="H22" s="250"/>
      <c r="I22" s="250"/>
      <c r="J22" s="252"/>
      <c r="K22" s="252"/>
      <c r="L22" s="252"/>
      <c r="M22" s="252"/>
      <c r="N22" s="252"/>
      <c r="O22" s="252"/>
      <c r="P22" s="252"/>
      <c r="Q22" s="252"/>
      <c r="R22" s="252"/>
      <c r="S22" s="252"/>
      <c r="T22" s="252"/>
      <c r="U22" s="252"/>
      <c r="V22" s="252"/>
      <c r="W22" s="252"/>
      <c r="X22" s="252"/>
      <c r="AB22" s="252"/>
      <c r="AC22" s="252"/>
      <c r="AD22" s="252"/>
      <c r="AE22" s="252"/>
      <c r="AF22" s="252"/>
    </row>
    <row r="23" spans="1:32" x14ac:dyDescent="0.3">
      <c r="A23" s="250"/>
      <c r="B23" s="250"/>
      <c r="C23" s="250"/>
      <c r="D23" s="250"/>
      <c r="E23" s="250"/>
      <c r="F23" s="250"/>
      <c r="G23" s="250"/>
      <c r="H23" s="250"/>
      <c r="I23" s="250"/>
      <c r="J23" s="252"/>
      <c r="K23" s="252"/>
      <c r="L23" s="252"/>
      <c r="M23" s="252"/>
      <c r="N23" s="252"/>
      <c r="O23" s="252"/>
      <c r="P23" s="252"/>
      <c r="Q23" s="252"/>
      <c r="R23" s="252"/>
      <c r="S23" s="252"/>
      <c r="T23" s="252"/>
      <c r="U23" s="252"/>
      <c r="V23" s="252"/>
      <c r="W23" s="252"/>
      <c r="X23" s="252"/>
      <c r="AB23" s="252"/>
      <c r="AC23" s="252"/>
      <c r="AD23" s="252"/>
      <c r="AE23" s="252"/>
      <c r="AF23" s="252"/>
    </row>
    <row r="24" spans="1:32" x14ac:dyDescent="0.3">
      <c r="A24" s="250"/>
      <c r="B24" s="250"/>
      <c r="C24" s="250"/>
      <c r="D24" s="250"/>
      <c r="E24" s="250"/>
      <c r="F24" s="250"/>
      <c r="G24" s="250"/>
      <c r="H24" s="250"/>
      <c r="I24" s="250"/>
      <c r="J24" s="252"/>
      <c r="K24" s="252"/>
      <c r="L24" s="252"/>
      <c r="M24" s="252"/>
      <c r="N24" s="252"/>
      <c r="O24" s="252"/>
      <c r="P24" s="252"/>
      <c r="Q24" s="252"/>
      <c r="R24" s="252"/>
      <c r="S24" s="252"/>
      <c r="T24" s="252"/>
      <c r="U24" s="252"/>
      <c r="V24" s="252"/>
      <c r="W24" s="252"/>
      <c r="X24" s="252"/>
      <c r="AB24" s="252"/>
      <c r="AC24" s="252"/>
      <c r="AD24" s="252"/>
      <c r="AE24" s="252"/>
      <c r="AF24" s="252"/>
    </row>
    <row r="25" spans="1:32" x14ac:dyDescent="0.3">
      <c r="A25" s="250"/>
      <c r="B25" s="250"/>
      <c r="C25" s="250"/>
      <c r="D25" s="250"/>
      <c r="E25" s="250"/>
      <c r="F25" s="250"/>
      <c r="G25" s="250"/>
      <c r="H25" s="250"/>
      <c r="I25" s="250"/>
      <c r="J25" s="252"/>
      <c r="K25" s="252"/>
      <c r="L25" s="252"/>
      <c r="M25" s="252"/>
      <c r="N25" s="252"/>
      <c r="O25" s="252"/>
      <c r="P25" s="252"/>
      <c r="Q25" s="252"/>
      <c r="R25" s="252"/>
      <c r="S25" s="252"/>
      <c r="T25" s="252"/>
      <c r="U25" s="252"/>
      <c r="V25" s="252"/>
      <c r="W25" s="252"/>
      <c r="X25" s="252"/>
      <c r="AB25" s="252"/>
      <c r="AC25" s="252"/>
      <c r="AD25" s="252"/>
      <c r="AE25" s="252"/>
      <c r="AF25" s="252"/>
    </row>
    <row r="26" spans="1:32" x14ac:dyDescent="0.3">
      <c r="A26" s="250"/>
      <c r="B26" s="250"/>
      <c r="C26" s="250"/>
      <c r="D26" s="250"/>
      <c r="E26" s="250"/>
      <c r="F26" s="250"/>
      <c r="G26" s="250"/>
      <c r="H26" s="250"/>
      <c r="I26" s="250"/>
      <c r="J26" s="252"/>
      <c r="K26" s="252"/>
      <c r="L26" s="252"/>
      <c r="M26" s="252"/>
      <c r="N26" s="252"/>
      <c r="O26" s="252"/>
      <c r="P26" s="252"/>
      <c r="Q26" s="252"/>
      <c r="R26" s="252"/>
      <c r="S26" s="252"/>
      <c r="T26" s="252"/>
      <c r="U26" s="252"/>
      <c r="V26" s="252"/>
      <c r="W26" s="252"/>
      <c r="X26" s="252"/>
      <c r="AB26" s="252"/>
      <c r="AC26" s="252"/>
      <c r="AD26" s="252"/>
      <c r="AE26" s="252"/>
      <c r="AF26" s="252"/>
    </row>
    <row r="27" spans="1:32" x14ac:dyDescent="0.3">
      <c r="A27" s="250"/>
      <c r="B27" s="250"/>
      <c r="C27" s="250"/>
      <c r="D27" s="250"/>
      <c r="E27" s="250"/>
      <c r="F27" s="250"/>
      <c r="G27" s="250"/>
      <c r="H27" s="250"/>
      <c r="I27" s="250"/>
      <c r="J27" s="252"/>
      <c r="K27" s="252"/>
      <c r="L27" s="252"/>
      <c r="M27" s="252"/>
      <c r="N27" s="252"/>
      <c r="O27" s="252"/>
      <c r="P27" s="252"/>
      <c r="Q27" s="252"/>
      <c r="R27" s="252"/>
      <c r="S27" s="252"/>
      <c r="T27" s="252"/>
      <c r="U27" s="252"/>
      <c r="V27" s="252"/>
      <c r="W27" s="252"/>
      <c r="X27" s="252"/>
      <c r="AB27" s="252"/>
      <c r="AC27" s="252"/>
      <c r="AD27" s="252"/>
      <c r="AE27" s="252"/>
      <c r="AF27" s="252"/>
    </row>
    <row r="28" spans="1:32" x14ac:dyDescent="0.3">
      <c r="A28" s="250"/>
      <c r="B28" s="250"/>
      <c r="C28" s="250"/>
      <c r="D28" s="250"/>
      <c r="E28" s="250"/>
      <c r="F28" s="250"/>
      <c r="G28" s="250"/>
      <c r="H28" s="250"/>
      <c r="I28" s="250"/>
      <c r="J28" s="252"/>
      <c r="K28" s="252"/>
      <c r="L28" s="252"/>
      <c r="M28" s="252"/>
      <c r="N28" s="252"/>
      <c r="O28" s="252"/>
      <c r="P28" s="252"/>
      <c r="Q28" s="252"/>
      <c r="R28" s="252"/>
      <c r="S28" s="252"/>
      <c r="T28" s="252"/>
      <c r="U28" s="252"/>
      <c r="V28" s="252"/>
      <c r="W28" s="252"/>
      <c r="X28" s="252"/>
      <c r="AB28" s="252"/>
      <c r="AC28" s="252"/>
      <c r="AD28" s="252"/>
      <c r="AE28" s="252"/>
      <c r="AF28" s="252"/>
    </row>
    <row r="29" spans="1:32" x14ac:dyDescent="0.3">
      <c r="A29" s="250"/>
      <c r="B29" s="250"/>
      <c r="C29" s="250"/>
      <c r="D29" s="250"/>
      <c r="E29" s="250"/>
      <c r="F29" s="250"/>
      <c r="G29" s="250"/>
      <c r="H29" s="250"/>
      <c r="I29" s="250"/>
      <c r="J29" s="252"/>
      <c r="K29" s="252"/>
      <c r="L29" s="252"/>
      <c r="M29" s="252"/>
      <c r="N29" s="252"/>
      <c r="O29" s="252"/>
      <c r="P29" s="252"/>
      <c r="Q29" s="252"/>
      <c r="R29" s="252"/>
      <c r="S29" s="252"/>
      <c r="T29" s="252"/>
      <c r="U29" s="252"/>
      <c r="V29" s="252"/>
      <c r="W29" s="252"/>
      <c r="X29" s="252"/>
      <c r="AB29" s="252"/>
      <c r="AC29" s="252"/>
      <c r="AD29" s="252"/>
      <c r="AE29" s="252"/>
      <c r="AF29" s="252"/>
    </row>
    <row r="30" spans="1:32" x14ac:dyDescent="0.3">
      <c r="A30" s="250"/>
      <c r="B30" s="250"/>
      <c r="C30" s="250"/>
      <c r="D30" s="250"/>
      <c r="E30" s="250"/>
      <c r="F30" s="250"/>
      <c r="G30" s="250"/>
      <c r="H30" s="250"/>
      <c r="I30" s="250"/>
      <c r="J30" s="252"/>
      <c r="K30" s="252"/>
      <c r="L30" s="252"/>
      <c r="M30" s="252"/>
      <c r="N30" s="252"/>
      <c r="O30" s="252"/>
      <c r="P30" s="252"/>
      <c r="Q30" s="252"/>
      <c r="R30" s="252"/>
      <c r="S30" s="252"/>
      <c r="T30" s="252"/>
      <c r="U30" s="252"/>
      <c r="V30" s="252"/>
      <c r="W30" s="252"/>
      <c r="X30" s="252"/>
      <c r="AB30" s="252"/>
      <c r="AC30" s="252"/>
      <c r="AD30" s="252"/>
      <c r="AE30" s="252"/>
      <c r="AF30" s="252"/>
    </row>
    <row r="31" spans="1:32" x14ac:dyDescent="0.3">
      <c r="A31" s="250"/>
      <c r="B31" s="250"/>
      <c r="C31" s="250"/>
      <c r="D31" s="250"/>
      <c r="E31" s="250"/>
      <c r="F31" s="250"/>
      <c r="G31" s="250"/>
      <c r="H31" s="250"/>
      <c r="I31" s="250"/>
      <c r="J31" s="252"/>
      <c r="K31" s="252"/>
      <c r="L31" s="252"/>
      <c r="M31" s="252"/>
      <c r="N31" s="252"/>
      <c r="O31" s="252"/>
      <c r="P31" s="252"/>
      <c r="Q31" s="252"/>
      <c r="R31" s="252"/>
      <c r="S31" s="252"/>
      <c r="T31" s="252"/>
      <c r="U31" s="252"/>
      <c r="V31" s="252"/>
      <c r="W31" s="252"/>
      <c r="X31" s="252"/>
      <c r="AB31" s="252"/>
      <c r="AC31" s="252"/>
      <c r="AD31" s="252"/>
      <c r="AE31" s="252"/>
      <c r="AF31" s="252"/>
    </row>
    <row r="32" spans="1:32" x14ac:dyDescent="0.3">
      <c r="A32" s="250"/>
      <c r="B32" s="250"/>
      <c r="C32" s="250"/>
      <c r="D32" s="250"/>
      <c r="E32" s="250"/>
      <c r="F32" s="250"/>
      <c r="G32" s="250"/>
      <c r="H32" s="250"/>
      <c r="I32" s="250"/>
      <c r="J32" s="252"/>
      <c r="K32" s="252"/>
      <c r="L32" s="252"/>
      <c r="M32" s="252"/>
      <c r="N32" s="252"/>
      <c r="O32" s="252"/>
      <c r="P32" s="252"/>
      <c r="Q32" s="252"/>
      <c r="R32" s="252"/>
      <c r="S32" s="252"/>
      <c r="T32" s="252"/>
      <c r="U32" s="252"/>
      <c r="V32" s="252"/>
      <c r="W32" s="252"/>
      <c r="X32" s="252"/>
      <c r="AB32" s="252"/>
      <c r="AC32" s="252"/>
      <c r="AD32" s="252"/>
      <c r="AE32" s="252"/>
      <c r="AF32" s="252"/>
    </row>
    <row r="33" spans="1:32" x14ac:dyDescent="0.3">
      <c r="A33" s="250"/>
      <c r="B33" s="250"/>
      <c r="C33" s="250"/>
      <c r="D33" s="250"/>
      <c r="E33" s="250"/>
      <c r="F33" s="250"/>
      <c r="G33" s="250"/>
      <c r="H33" s="250"/>
      <c r="I33" s="250"/>
      <c r="J33" s="252"/>
      <c r="K33" s="252"/>
      <c r="L33" s="252"/>
      <c r="M33" s="252"/>
      <c r="N33" s="252"/>
      <c r="O33" s="252"/>
      <c r="P33" s="252"/>
      <c r="Q33" s="252"/>
      <c r="R33" s="252"/>
      <c r="S33" s="252"/>
      <c r="T33" s="252"/>
      <c r="U33" s="252"/>
      <c r="V33" s="252"/>
      <c r="W33" s="252"/>
      <c r="X33" s="252"/>
      <c r="AB33" s="252"/>
      <c r="AC33" s="252"/>
      <c r="AD33" s="252"/>
      <c r="AE33" s="252"/>
      <c r="AF33" s="252"/>
    </row>
    <row r="34" spans="1:32" x14ac:dyDescent="0.3">
      <c r="A34" s="250"/>
      <c r="B34" s="250"/>
      <c r="C34" s="250"/>
      <c r="D34" s="250"/>
      <c r="E34" s="250"/>
      <c r="F34" s="250"/>
      <c r="G34" s="250"/>
      <c r="H34" s="250"/>
      <c r="I34" s="250"/>
      <c r="J34" s="252"/>
      <c r="K34" s="252"/>
      <c r="L34" s="252"/>
      <c r="M34" s="252"/>
      <c r="N34" s="252"/>
      <c r="O34" s="252"/>
      <c r="P34" s="252"/>
      <c r="Q34" s="252"/>
      <c r="R34" s="252"/>
      <c r="S34" s="252"/>
      <c r="T34" s="252"/>
      <c r="U34" s="252"/>
      <c r="V34" s="252"/>
      <c r="W34" s="252"/>
      <c r="X34" s="252"/>
      <c r="AB34" s="252"/>
      <c r="AC34" s="252"/>
      <c r="AD34" s="252"/>
      <c r="AE34" s="252"/>
      <c r="AF34" s="252"/>
    </row>
    <row r="35" spans="1:32" x14ac:dyDescent="0.3">
      <c r="A35" s="250"/>
      <c r="B35" s="250"/>
      <c r="C35" s="250"/>
      <c r="D35" s="250"/>
      <c r="E35" s="250"/>
      <c r="F35" s="250"/>
      <c r="G35" s="250"/>
      <c r="H35" s="250"/>
      <c r="I35" s="250"/>
      <c r="J35" s="252"/>
      <c r="K35" s="252"/>
      <c r="L35" s="252"/>
      <c r="M35" s="252"/>
      <c r="N35" s="252"/>
      <c r="O35" s="252"/>
      <c r="P35" s="252"/>
      <c r="Q35" s="252"/>
      <c r="R35" s="252"/>
      <c r="S35" s="252"/>
      <c r="T35" s="252"/>
      <c r="U35" s="252"/>
      <c r="V35" s="252"/>
      <c r="W35" s="252"/>
      <c r="X35" s="252"/>
      <c r="AB35" s="252"/>
      <c r="AC35" s="252"/>
      <c r="AD35" s="252"/>
      <c r="AE35" s="252"/>
      <c r="AF35" s="252"/>
    </row>
    <row r="36" spans="1:32" x14ac:dyDescent="0.3">
      <c r="A36" s="250"/>
      <c r="B36" s="250"/>
      <c r="C36" s="250"/>
      <c r="D36" s="250"/>
      <c r="E36" s="250"/>
      <c r="F36" s="250"/>
      <c r="G36" s="250"/>
      <c r="H36" s="250"/>
      <c r="I36" s="250"/>
      <c r="J36" s="252"/>
      <c r="K36" s="252"/>
      <c r="L36" s="252"/>
      <c r="M36" s="252"/>
      <c r="N36" s="252"/>
      <c r="O36" s="252"/>
      <c r="P36" s="252"/>
      <c r="Q36" s="252"/>
      <c r="R36" s="252"/>
      <c r="S36" s="252"/>
      <c r="T36" s="252"/>
      <c r="U36" s="252"/>
      <c r="V36" s="252"/>
      <c r="W36" s="252"/>
      <c r="X36" s="252"/>
      <c r="AB36" s="252"/>
      <c r="AC36" s="252"/>
      <c r="AD36" s="252"/>
      <c r="AE36" s="252"/>
      <c r="AF36" s="252"/>
    </row>
    <row r="37" spans="1:32" x14ac:dyDescent="0.3">
      <c r="A37" s="250"/>
      <c r="B37" s="250"/>
      <c r="C37" s="250"/>
      <c r="D37" s="250"/>
      <c r="E37" s="250"/>
      <c r="F37" s="250"/>
      <c r="G37" s="250"/>
      <c r="H37" s="250"/>
      <c r="I37" s="250"/>
      <c r="J37" s="252"/>
      <c r="K37" s="252"/>
      <c r="L37" s="252"/>
      <c r="M37" s="252"/>
      <c r="N37" s="252"/>
      <c r="O37" s="252"/>
      <c r="P37" s="252"/>
      <c r="Q37" s="252"/>
      <c r="R37" s="252"/>
      <c r="S37" s="252"/>
      <c r="T37" s="252"/>
      <c r="U37" s="252"/>
      <c r="V37" s="252"/>
      <c r="W37" s="252"/>
      <c r="X37" s="252"/>
      <c r="AB37" s="252"/>
      <c r="AC37" s="252"/>
      <c r="AD37" s="252"/>
      <c r="AE37" s="252"/>
      <c r="AF37" s="252"/>
    </row>
    <row r="38" spans="1:32" x14ac:dyDescent="0.3">
      <c r="A38" s="250"/>
      <c r="B38" s="250"/>
      <c r="C38" s="250"/>
      <c r="D38" s="250"/>
      <c r="E38" s="250"/>
      <c r="F38" s="250"/>
      <c r="G38" s="250"/>
      <c r="H38" s="250"/>
      <c r="I38" s="250"/>
      <c r="J38" s="252"/>
      <c r="K38" s="252"/>
      <c r="L38" s="252"/>
      <c r="M38" s="252"/>
      <c r="N38" s="252"/>
      <c r="O38" s="252"/>
      <c r="P38" s="252"/>
      <c r="Q38" s="252"/>
      <c r="R38" s="252"/>
      <c r="S38" s="252"/>
      <c r="T38" s="252"/>
      <c r="U38" s="252"/>
      <c r="V38" s="252"/>
      <c r="W38" s="252"/>
      <c r="X38" s="252"/>
      <c r="AB38" s="252"/>
      <c r="AC38" s="252"/>
      <c r="AD38" s="252"/>
      <c r="AE38" s="252"/>
      <c r="AF38" s="252"/>
    </row>
    <row r="39" spans="1:32" x14ac:dyDescent="0.3">
      <c r="A39" s="250"/>
      <c r="B39" s="250"/>
      <c r="C39" s="250"/>
      <c r="D39" s="250"/>
      <c r="E39" s="250"/>
      <c r="F39" s="250"/>
      <c r="G39" s="250"/>
      <c r="H39" s="250"/>
      <c r="I39" s="250"/>
      <c r="J39" s="252"/>
      <c r="K39" s="252"/>
      <c r="L39" s="252"/>
      <c r="M39" s="252"/>
      <c r="N39" s="252"/>
      <c r="O39" s="252"/>
      <c r="P39" s="252"/>
      <c r="Q39" s="252"/>
      <c r="R39" s="252"/>
      <c r="S39" s="252"/>
      <c r="T39" s="252"/>
      <c r="U39" s="252"/>
      <c r="V39" s="252"/>
      <c r="W39" s="252"/>
      <c r="X39" s="252"/>
      <c r="AB39" s="252"/>
      <c r="AC39" s="252"/>
      <c r="AD39" s="252"/>
      <c r="AE39" s="252"/>
      <c r="AF39" s="252"/>
    </row>
    <row r="40" spans="1:32" x14ac:dyDescent="0.3">
      <c r="A40" s="250"/>
      <c r="B40" s="250"/>
      <c r="C40" s="250"/>
      <c r="D40" s="250"/>
      <c r="E40" s="250"/>
      <c r="F40" s="250"/>
      <c r="G40" s="250"/>
      <c r="H40" s="250"/>
      <c r="I40" s="250"/>
      <c r="J40" s="252"/>
      <c r="K40" s="252"/>
      <c r="L40" s="252"/>
      <c r="M40" s="252"/>
      <c r="N40" s="252"/>
      <c r="O40" s="252"/>
      <c r="P40" s="252"/>
      <c r="Q40" s="252"/>
      <c r="R40" s="252"/>
      <c r="S40" s="252"/>
      <c r="T40" s="252"/>
      <c r="U40" s="252"/>
      <c r="V40" s="252"/>
      <c r="W40" s="252"/>
      <c r="X40" s="252"/>
      <c r="AB40" s="252"/>
      <c r="AC40" s="252"/>
      <c r="AD40" s="252"/>
      <c r="AE40" s="252"/>
      <c r="AF40" s="252"/>
    </row>
    <row r="41" spans="1:32" x14ac:dyDescent="0.3">
      <c r="A41" s="250"/>
      <c r="B41" s="250"/>
      <c r="C41" s="250"/>
      <c r="D41" s="250"/>
      <c r="E41" s="250"/>
      <c r="F41" s="250"/>
      <c r="G41" s="250"/>
      <c r="H41" s="250"/>
      <c r="I41" s="250"/>
      <c r="J41" s="252"/>
      <c r="K41" s="252"/>
      <c r="L41" s="252"/>
      <c r="M41" s="252"/>
      <c r="N41" s="252"/>
      <c r="O41" s="252"/>
      <c r="P41" s="252"/>
      <c r="Q41" s="252"/>
      <c r="R41" s="252"/>
      <c r="S41" s="252"/>
      <c r="T41" s="252"/>
      <c r="U41" s="252"/>
      <c r="V41" s="252"/>
      <c r="W41" s="252"/>
      <c r="X41" s="252"/>
      <c r="AB41" s="252"/>
      <c r="AC41" s="252"/>
      <c r="AD41" s="252"/>
      <c r="AE41" s="252"/>
      <c r="AF41" s="252"/>
    </row>
    <row r="42" spans="1:32" x14ac:dyDescent="0.3">
      <c r="A42" s="250"/>
      <c r="B42" s="250"/>
      <c r="C42" s="250"/>
      <c r="D42" s="250"/>
      <c r="E42" s="250"/>
      <c r="F42" s="250"/>
      <c r="G42" s="250"/>
      <c r="H42" s="250"/>
      <c r="I42" s="250"/>
      <c r="J42" s="252"/>
      <c r="K42" s="252"/>
      <c r="L42" s="252"/>
      <c r="M42" s="252"/>
      <c r="N42" s="252"/>
      <c r="O42" s="252"/>
      <c r="P42" s="252"/>
      <c r="Q42" s="252"/>
      <c r="R42" s="252"/>
      <c r="S42" s="252"/>
      <c r="T42" s="252"/>
      <c r="U42" s="252"/>
      <c r="V42" s="252"/>
      <c r="W42" s="252"/>
      <c r="X42" s="252"/>
      <c r="AB42" s="252"/>
      <c r="AC42" s="252"/>
      <c r="AD42" s="252"/>
      <c r="AE42" s="252"/>
      <c r="AF42" s="252"/>
    </row>
    <row r="43" spans="1:32" x14ac:dyDescent="0.3">
      <c r="A43" s="250"/>
      <c r="B43" s="250"/>
      <c r="C43" s="250"/>
      <c r="D43" s="250"/>
      <c r="E43" s="250"/>
      <c r="F43" s="250"/>
      <c r="G43" s="250"/>
      <c r="H43" s="250"/>
      <c r="I43" s="250"/>
      <c r="J43" s="252"/>
      <c r="K43" s="252"/>
      <c r="L43" s="252"/>
      <c r="M43" s="252"/>
      <c r="N43" s="252"/>
      <c r="O43" s="252"/>
      <c r="P43" s="252"/>
      <c r="Q43" s="252"/>
      <c r="R43" s="252"/>
      <c r="S43" s="252"/>
      <c r="T43" s="252"/>
      <c r="U43" s="252"/>
      <c r="V43" s="252"/>
      <c r="W43" s="252"/>
      <c r="X43" s="252"/>
      <c r="AB43" s="252"/>
      <c r="AC43" s="252"/>
      <c r="AD43" s="252"/>
      <c r="AE43" s="252"/>
      <c r="AF43" s="252"/>
    </row>
    <row r="44" spans="1:32" x14ac:dyDescent="0.3">
      <c r="A44" s="250"/>
      <c r="B44" s="250"/>
      <c r="C44" s="250"/>
      <c r="D44" s="250"/>
      <c r="E44" s="250"/>
      <c r="F44" s="250"/>
      <c r="G44" s="250"/>
      <c r="H44" s="250"/>
      <c r="I44" s="250"/>
      <c r="J44" s="252"/>
      <c r="K44" s="252"/>
      <c r="L44" s="252"/>
      <c r="M44" s="252"/>
      <c r="N44" s="252"/>
      <c r="O44" s="252"/>
      <c r="P44" s="252"/>
      <c r="Q44" s="252"/>
      <c r="R44" s="252"/>
      <c r="S44" s="252"/>
      <c r="T44" s="252"/>
      <c r="U44" s="252"/>
      <c r="V44" s="252"/>
      <c r="W44" s="252"/>
      <c r="X44" s="252"/>
      <c r="AB44" s="252"/>
      <c r="AC44" s="252"/>
      <c r="AD44" s="252"/>
      <c r="AE44" s="252"/>
      <c r="AF44" s="252"/>
    </row>
    <row r="45" spans="1:32" x14ac:dyDescent="0.3">
      <c r="A45" s="250"/>
      <c r="B45" s="250"/>
      <c r="C45" s="250"/>
      <c r="D45" s="250"/>
      <c r="E45" s="250"/>
      <c r="F45" s="250"/>
      <c r="G45" s="250"/>
      <c r="H45" s="250"/>
      <c r="I45" s="250"/>
      <c r="J45" s="252"/>
      <c r="K45" s="252"/>
      <c r="L45" s="252"/>
      <c r="M45" s="252"/>
      <c r="N45" s="252"/>
      <c r="O45" s="252"/>
      <c r="P45" s="252"/>
      <c r="Q45" s="252"/>
      <c r="R45" s="252"/>
      <c r="S45" s="252"/>
      <c r="T45" s="252"/>
      <c r="U45" s="252"/>
      <c r="V45" s="252"/>
      <c r="W45" s="252"/>
      <c r="X45" s="252"/>
      <c r="AB45" s="252"/>
      <c r="AC45" s="252"/>
      <c r="AD45" s="252"/>
      <c r="AE45" s="252"/>
      <c r="AF45" s="252"/>
    </row>
    <row r="46" spans="1:32" x14ac:dyDescent="0.3">
      <c r="A46" s="250"/>
      <c r="B46" s="250"/>
      <c r="C46" s="250"/>
      <c r="D46" s="250"/>
      <c r="E46" s="250"/>
      <c r="F46" s="250"/>
      <c r="G46" s="250"/>
      <c r="H46" s="250"/>
      <c r="I46" s="250"/>
      <c r="J46" s="252"/>
      <c r="K46" s="252"/>
      <c r="L46" s="252"/>
      <c r="M46" s="252"/>
      <c r="N46" s="252"/>
      <c r="O46" s="252"/>
      <c r="P46" s="252"/>
      <c r="Q46" s="252"/>
      <c r="R46" s="252"/>
      <c r="S46" s="252"/>
      <c r="T46" s="252"/>
      <c r="U46" s="252"/>
      <c r="V46" s="252"/>
      <c r="W46" s="252"/>
      <c r="X46" s="252"/>
      <c r="AB46" s="252"/>
      <c r="AC46" s="252"/>
      <c r="AD46" s="252"/>
      <c r="AE46" s="252"/>
      <c r="AF46" s="252"/>
    </row>
    <row r="47" spans="1:32" x14ac:dyDescent="0.3">
      <c r="A47" s="250"/>
      <c r="B47" s="250"/>
      <c r="C47" s="250"/>
      <c r="D47" s="250"/>
      <c r="E47" s="250"/>
      <c r="F47" s="250"/>
      <c r="G47" s="250"/>
      <c r="H47" s="250"/>
      <c r="I47" s="250"/>
      <c r="J47" s="252"/>
      <c r="K47" s="252"/>
      <c r="L47" s="252"/>
      <c r="M47" s="252"/>
      <c r="N47" s="252"/>
      <c r="O47" s="252"/>
      <c r="P47" s="252"/>
      <c r="Q47" s="252"/>
      <c r="R47" s="252"/>
      <c r="S47" s="252"/>
      <c r="T47" s="252"/>
      <c r="U47" s="252"/>
      <c r="V47" s="252"/>
      <c r="W47" s="252"/>
      <c r="X47" s="252"/>
      <c r="AB47" s="252"/>
      <c r="AC47" s="252"/>
      <c r="AD47" s="252"/>
      <c r="AE47" s="252"/>
      <c r="AF47" s="252"/>
    </row>
    <row r="48" spans="1:32" x14ac:dyDescent="0.3">
      <c r="A48" s="250"/>
      <c r="B48" s="250"/>
      <c r="C48" s="250"/>
      <c r="D48" s="250"/>
      <c r="E48" s="250"/>
      <c r="F48" s="250"/>
      <c r="G48" s="250"/>
      <c r="H48" s="250"/>
      <c r="I48" s="250"/>
      <c r="J48" s="252"/>
      <c r="K48" s="252"/>
      <c r="L48" s="252"/>
      <c r="M48" s="252"/>
      <c r="N48" s="252"/>
      <c r="O48" s="252"/>
      <c r="P48" s="252"/>
      <c r="Q48" s="252"/>
      <c r="R48" s="252"/>
      <c r="S48" s="252"/>
      <c r="T48" s="252"/>
      <c r="U48" s="252"/>
      <c r="V48" s="252"/>
      <c r="W48" s="252"/>
      <c r="X48" s="252"/>
      <c r="AB48" s="252"/>
      <c r="AC48" s="252"/>
      <c r="AD48" s="252"/>
      <c r="AE48" s="252"/>
      <c r="AF48" s="252"/>
    </row>
    <row r="49" spans="1:32" x14ac:dyDescent="0.3">
      <c r="A49" s="250"/>
      <c r="B49" s="250"/>
      <c r="C49" s="250"/>
      <c r="D49" s="250"/>
      <c r="E49" s="250"/>
      <c r="F49" s="250"/>
      <c r="G49" s="250"/>
      <c r="H49" s="250"/>
      <c r="I49" s="250"/>
      <c r="J49" s="252"/>
      <c r="K49" s="252"/>
      <c r="L49" s="252"/>
      <c r="M49" s="252"/>
      <c r="N49" s="252"/>
      <c r="O49" s="252"/>
      <c r="P49" s="252"/>
      <c r="Q49" s="252"/>
      <c r="R49" s="252"/>
      <c r="S49" s="252"/>
      <c r="T49" s="252"/>
      <c r="U49" s="252"/>
      <c r="V49" s="252"/>
      <c r="W49" s="252"/>
      <c r="X49" s="252"/>
      <c r="AB49" s="252"/>
      <c r="AC49" s="252"/>
      <c r="AD49" s="252"/>
      <c r="AE49" s="252"/>
      <c r="AF49" s="252"/>
    </row>
    <row r="50" spans="1:32" x14ac:dyDescent="0.3">
      <c r="A50" s="250"/>
      <c r="B50" s="250"/>
      <c r="C50" s="250"/>
      <c r="D50" s="250"/>
      <c r="E50" s="250"/>
      <c r="F50" s="250"/>
      <c r="G50" s="250"/>
      <c r="H50" s="250"/>
      <c r="I50" s="250"/>
      <c r="J50" s="252"/>
      <c r="K50" s="252"/>
      <c r="L50" s="252"/>
      <c r="M50" s="252"/>
      <c r="N50" s="252"/>
      <c r="O50" s="252"/>
      <c r="P50" s="252"/>
      <c r="Q50" s="252"/>
      <c r="R50" s="252"/>
      <c r="S50" s="252"/>
      <c r="T50" s="252"/>
      <c r="U50" s="252"/>
      <c r="V50" s="252"/>
      <c r="W50" s="252"/>
      <c r="X50" s="252"/>
      <c r="AB50" s="252"/>
      <c r="AC50" s="252"/>
      <c r="AD50" s="252"/>
      <c r="AE50" s="252"/>
      <c r="AF50" s="252"/>
    </row>
    <row r="51" spans="1:32" x14ac:dyDescent="0.3">
      <c r="A51" s="250"/>
      <c r="B51" s="250"/>
      <c r="C51" s="250"/>
      <c r="D51" s="250"/>
      <c r="E51" s="250"/>
      <c r="F51" s="250"/>
      <c r="G51" s="250"/>
      <c r="H51" s="250"/>
      <c r="I51" s="250"/>
      <c r="J51" s="252"/>
      <c r="K51" s="252"/>
      <c r="L51" s="252"/>
      <c r="M51" s="252"/>
      <c r="N51" s="252"/>
      <c r="O51" s="252"/>
      <c r="P51" s="252"/>
      <c r="Q51" s="252"/>
      <c r="R51" s="252"/>
      <c r="S51" s="252"/>
      <c r="T51" s="252"/>
      <c r="U51" s="252"/>
      <c r="V51" s="252"/>
      <c r="W51" s="252"/>
      <c r="X51" s="252"/>
      <c r="AB51" s="252"/>
      <c r="AC51" s="252"/>
      <c r="AD51" s="252"/>
      <c r="AE51" s="252"/>
      <c r="AF51" s="252"/>
    </row>
    <row r="52" spans="1:32" x14ac:dyDescent="0.3">
      <c r="A52" s="250"/>
      <c r="B52" s="250"/>
      <c r="C52" s="250"/>
      <c r="D52" s="250"/>
      <c r="E52" s="250"/>
      <c r="F52" s="250"/>
      <c r="G52" s="250"/>
      <c r="H52" s="250"/>
      <c r="I52" s="250"/>
      <c r="J52" s="252"/>
      <c r="K52" s="252"/>
      <c r="L52" s="252"/>
      <c r="M52" s="252"/>
      <c r="N52" s="252"/>
      <c r="O52" s="252"/>
      <c r="P52" s="252"/>
      <c r="Q52" s="252"/>
      <c r="R52" s="252"/>
      <c r="S52" s="252"/>
      <c r="T52" s="252"/>
      <c r="U52" s="252"/>
      <c r="V52" s="252"/>
      <c r="W52" s="252"/>
      <c r="X52" s="252"/>
      <c r="AB52" s="252"/>
      <c r="AC52" s="252"/>
      <c r="AD52" s="252"/>
      <c r="AE52" s="252"/>
      <c r="AF52" s="252"/>
    </row>
    <row r="53" spans="1:32" x14ac:dyDescent="0.3">
      <c r="A53" s="250"/>
      <c r="B53" s="250"/>
      <c r="C53" s="250"/>
      <c r="D53" s="250"/>
      <c r="E53" s="250"/>
      <c r="F53" s="250"/>
      <c r="G53" s="250"/>
      <c r="H53" s="250"/>
      <c r="I53" s="250"/>
      <c r="J53" s="252"/>
      <c r="K53" s="252"/>
      <c r="L53" s="252"/>
      <c r="M53" s="252"/>
      <c r="N53" s="252"/>
      <c r="O53" s="252"/>
      <c r="P53" s="252"/>
      <c r="Q53" s="252"/>
      <c r="R53" s="252"/>
      <c r="S53" s="252"/>
      <c r="T53" s="252"/>
      <c r="U53" s="252"/>
      <c r="V53" s="252"/>
      <c r="W53" s="252"/>
      <c r="X53" s="252"/>
      <c r="AB53" s="252"/>
      <c r="AC53" s="252"/>
      <c r="AD53" s="252"/>
      <c r="AE53" s="252"/>
      <c r="AF53" s="252"/>
    </row>
    <row r="54" spans="1:32" x14ac:dyDescent="0.3">
      <c r="A54" s="250"/>
      <c r="B54" s="250"/>
      <c r="C54" s="250"/>
      <c r="D54" s="250"/>
      <c r="E54" s="250"/>
      <c r="F54" s="250"/>
      <c r="G54" s="250"/>
      <c r="H54" s="250"/>
      <c r="I54" s="250"/>
      <c r="J54" s="252"/>
      <c r="K54" s="252"/>
      <c r="L54" s="252"/>
      <c r="M54" s="252"/>
      <c r="N54" s="252"/>
      <c r="O54" s="252"/>
      <c r="P54" s="252"/>
      <c r="Q54" s="252"/>
      <c r="R54" s="252"/>
      <c r="S54" s="252"/>
      <c r="T54" s="252"/>
      <c r="U54" s="252"/>
      <c r="V54" s="252"/>
      <c r="W54" s="252"/>
      <c r="X54" s="252"/>
      <c r="AB54" s="252"/>
      <c r="AC54" s="252"/>
      <c r="AD54" s="252"/>
      <c r="AE54" s="252"/>
      <c r="AF54" s="252"/>
    </row>
    <row r="55" spans="1:32" x14ac:dyDescent="0.3">
      <c r="A55" s="250"/>
      <c r="B55" s="250"/>
      <c r="C55" s="250"/>
      <c r="D55" s="250"/>
      <c r="E55" s="250"/>
      <c r="F55" s="250"/>
      <c r="G55" s="250"/>
      <c r="H55" s="250"/>
      <c r="I55" s="250"/>
      <c r="J55" s="252"/>
      <c r="K55" s="252"/>
      <c r="L55" s="252"/>
      <c r="M55" s="252"/>
      <c r="N55" s="252"/>
      <c r="O55" s="252"/>
      <c r="P55" s="252"/>
      <c r="Q55" s="252"/>
      <c r="R55" s="252"/>
      <c r="S55" s="252"/>
      <c r="T55" s="252"/>
      <c r="U55" s="252"/>
      <c r="V55" s="252"/>
      <c r="W55" s="252"/>
      <c r="X55" s="252"/>
      <c r="AB55" s="252"/>
      <c r="AC55" s="252"/>
      <c r="AD55" s="252"/>
      <c r="AE55" s="252"/>
      <c r="AF55" s="252"/>
    </row>
    <row r="56" spans="1:32" x14ac:dyDescent="0.3">
      <c r="A56" s="250"/>
      <c r="B56" s="250"/>
      <c r="C56" s="250"/>
      <c r="D56" s="250"/>
      <c r="E56" s="250"/>
      <c r="F56" s="250"/>
      <c r="G56" s="250"/>
      <c r="H56" s="250"/>
      <c r="I56" s="250"/>
      <c r="J56" s="252"/>
      <c r="K56" s="252"/>
      <c r="L56" s="252"/>
      <c r="M56" s="252"/>
      <c r="N56" s="252"/>
      <c r="O56" s="252"/>
      <c r="P56" s="252"/>
      <c r="Q56" s="252"/>
      <c r="R56" s="252"/>
      <c r="S56" s="252"/>
      <c r="T56" s="252"/>
      <c r="U56" s="252"/>
      <c r="V56" s="252"/>
      <c r="W56" s="252"/>
      <c r="X56" s="252"/>
      <c r="AB56" s="252"/>
      <c r="AC56" s="252"/>
      <c r="AD56" s="252"/>
      <c r="AE56" s="252"/>
      <c r="AF56" s="252"/>
    </row>
    <row r="57" spans="1:32" x14ac:dyDescent="0.3">
      <c r="A57" s="250"/>
      <c r="B57" s="250"/>
      <c r="C57" s="250"/>
      <c r="D57" s="250"/>
      <c r="E57" s="250"/>
      <c r="F57" s="250"/>
      <c r="G57" s="250"/>
      <c r="H57" s="250"/>
      <c r="I57" s="250"/>
      <c r="J57" s="252"/>
      <c r="K57" s="252"/>
      <c r="L57" s="252"/>
      <c r="M57" s="252"/>
      <c r="N57" s="252"/>
      <c r="O57" s="252"/>
      <c r="P57" s="252"/>
      <c r="Q57" s="252"/>
      <c r="R57" s="252"/>
      <c r="S57" s="252"/>
      <c r="T57" s="252"/>
      <c r="U57" s="252"/>
      <c r="V57" s="252"/>
      <c r="W57" s="252"/>
      <c r="X57" s="252"/>
      <c r="AB57" s="252"/>
      <c r="AC57" s="252"/>
      <c r="AD57" s="252"/>
      <c r="AE57" s="252"/>
      <c r="AF57" s="252"/>
    </row>
    <row r="58" spans="1:32" x14ac:dyDescent="0.3">
      <c r="A58" s="250"/>
      <c r="B58" s="250"/>
      <c r="C58" s="250"/>
      <c r="D58" s="250"/>
      <c r="E58" s="250"/>
      <c r="F58" s="250"/>
      <c r="G58" s="250"/>
      <c r="H58" s="250"/>
      <c r="I58" s="250"/>
      <c r="J58" s="252"/>
      <c r="K58" s="252"/>
      <c r="L58" s="252"/>
      <c r="M58" s="252"/>
      <c r="N58" s="252"/>
      <c r="O58" s="252"/>
      <c r="P58" s="252"/>
      <c r="Q58" s="252"/>
      <c r="R58" s="252"/>
      <c r="S58" s="252"/>
      <c r="T58" s="252"/>
      <c r="U58" s="252"/>
      <c r="V58" s="252"/>
      <c r="W58" s="252"/>
      <c r="X58" s="252"/>
      <c r="AB58" s="252"/>
      <c r="AC58" s="252"/>
      <c r="AD58" s="252"/>
      <c r="AE58" s="252"/>
      <c r="AF58" s="252"/>
    </row>
    <row r="59" spans="1:32" x14ac:dyDescent="0.3">
      <c r="A59" s="250"/>
      <c r="B59" s="250"/>
      <c r="C59" s="250"/>
      <c r="D59" s="250"/>
      <c r="E59" s="250"/>
      <c r="F59" s="250"/>
      <c r="G59" s="250"/>
      <c r="H59" s="250"/>
      <c r="I59" s="250"/>
      <c r="J59" s="252"/>
      <c r="K59" s="252"/>
      <c r="L59" s="252"/>
      <c r="M59" s="252"/>
      <c r="N59" s="252"/>
      <c r="O59" s="252"/>
      <c r="P59" s="252"/>
      <c r="Q59" s="252"/>
      <c r="R59" s="252"/>
      <c r="S59" s="252"/>
      <c r="T59" s="252"/>
      <c r="U59" s="252"/>
      <c r="V59" s="252"/>
      <c r="W59" s="252"/>
      <c r="X59" s="252"/>
      <c r="AB59" s="252"/>
      <c r="AC59" s="252"/>
      <c r="AD59" s="252"/>
      <c r="AE59" s="252"/>
      <c r="AF59" s="252"/>
    </row>
    <row r="60" spans="1:32" x14ac:dyDescent="0.3">
      <c r="A60" s="250"/>
      <c r="B60" s="250"/>
      <c r="C60" s="250"/>
      <c r="D60" s="250"/>
      <c r="E60" s="250"/>
      <c r="F60" s="250"/>
      <c r="G60" s="250"/>
      <c r="H60" s="250"/>
      <c r="I60" s="250"/>
      <c r="J60" s="252"/>
      <c r="K60" s="252"/>
      <c r="L60" s="252"/>
      <c r="M60" s="252"/>
      <c r="N60" s="252"/>
      <c r="O60" s="252"/>
      <c r="P60" s="252"/>
      <c r="Q60" s="252"/>
      <c r="R60" s="252"/>
      <c r="S60" s="252"/>
      <c r="T60" s="252"/>
      <c r="U60" s="252"/>
      <c r="V60" s="252"/>
      <c r="W60" s="252"/>
      <c r="X60" s="252"/>
      <c r="AB60" s="252"/>
      <c r="AC60" s="252"/>
      <c r="AD60" s="252"/>
      <c r="AE60" s="252"/>
      <c r="AF60" s="252"/>
    </row>
    <row r="61" spans="1:32" x14ac:dyDescent="0.3">
      <c r="A61" s="250"/>
      <c r="B61" s="250"/>
      <c r="C61" s="250"/>
      <c r="D61" s="250"/>
      <c r="E61" s="250"/>
      <c r="F61" s="250"/>
      <c r="G61" s="250"/>
      <c r="H61" s="250"/>
      <c r="I61" s="250"/>
      <c r="J61" s="252"/>
      <c r="K61" s="252"/>
      <c r="L61" s="252"/>
      <c r="M61" s="252"/>
      <c r="N61" s="252"/>
      <c r="O61" s="252"/>
      <c r="P61" s="252"/>
      <c r="Q61" s="252"/>
      <c r="R61" s="252"/>
      <c r="S61" s="252"/>
      <c r="T61" s="252"/>
      <c r="U61" s="252"/>
      <c r="V61" s="252"/>
      <c r="W61" s="252"/>
      <c r="X61" s="252"/>
      <c r="AB61" s="252"/>
      <c r="AC61" s="252"/>
      <c r="AD61" s="252"/>
      <c r="AE61" s="252"/>
      <c r="AF61" s="252"/>
    </row>
    <row r="62" spans="1:32" x14ac:dyDescent="0.3">
      <c r="A62" s="250"/>
      <c r="B62" s="250"/>
      <c r="C62" s="250"/>
      <c r="D62" s="250"/>
      <c r="E62" s="250"/>
      <c r="F62" s="250"/>
      <c r="G62" s="250"/>
      <c r="H62" s="250"/>
      <c r="I62" s="250"/>
      <c r="J62" s="252"/>
      <c r="K62" s="252"/>
      <c r="L62" s="252"/>
      <c r="M62" s="252"/>
      <c r="N62" s="252"/>
      <c r="O62" s="252"/>
      <c r="P62" s="252"/>
      <c r="Q62" s="252"/>
      <c r="R62" s="252"/>
      <c r="S62" s="252"/>
      <c r="T62" s="252"/>
      <c r="U62" s="252"/>
      <c r="V62" s="252"/>
      <c r="W62" s="252"/>
      <c r="X62" s="252"/>
      <c r="AB62" s="252"/>
      <c r="AC62" s="252"/>
      <c r="AD62" s="252"/>
      <c r="AE62" s="252"/>
      <c r="AF62" s="252"/>
    </row>
    <row r="63" spans="1:32" x14ac:dyDescent="0.3">
      <c r="A63" s="250"/>
      <c r="B63" s="250"/>
      <c r="C63" s="250"/>
      <c r="D63" s="250"/>
      <c r="E63" s="250"/>
      <c r="F63" s="250"/>
      <c r="G63" s="250"/>
      <c r="H63" s="250"/>
      <c r="I63" s="250"/>
      <c r="J63" s="252"/>
      <c r="K63" s="252"/>
      <c r="L63" s="252"/>
      <c r="M63" s="252"/>
      <c r="N63" s="252"/>
      <c r="O63" s="252"/>
      <c r="P63" s="252"/>
      <c r="Q63" s="252"/>
      <c r="R63" s="252"/>
      <c r="S63" s="252"/>
      <c r="T63" s="252"/>
      <c r="U63" s="252"/>
      <c r="V63" s="252"/>
      <c r="W63" s="252"/>
      <c r="X63" s="252"/>
      <c r="AB63" s="252"/>
      <c r="AC63" s="252"/>
      <c r="AD63" s="252"/>
      <c r="AE63" s="252"/>
      <c r="AF63" s="252"/>
    </row>
    <row r="64" spans="1:32" x14ac:dyDescent="0.3">
      <c r="A64" s="250"/>
      <c r="B64" s="250"/>
      <c r="C64" s="250"/>
      <c r="D64" s="250"/>
      <c r="E64" s="250"/>
      <c r="F64" s="250"/>
      <c r="G64" s="250"/>
      <c r="H64" s="250"/>
      <c r="I64" s="250"/>
      <c r="J64" s="252"/>
      <c r="K64" s="252"/>
      <c r="L64" s="252"/>
      <c r="M64" s="252"/>
      <c r="N64" s="252"/>
      <c r="O64" s="252"/>
      <c r="P64" s="252"/>
      <c r="Q64" s="252"/>
      <c r="R64" s="252"/>
      <c r="S64" s="252"/>
      <c r="T64" s="252"/>
      <c r="U64" s="252"/>
      <c r="V64" s="252"/>
      <c r="W64" s="252"/>
      <c r="X64" s="252"/>
      <c r="AB64" s="252"/>
      <c r="AC64" s="252"/>
      <c r="AD64" s="252"/>
      <c r="AE64" s="252"/>
      <c r="AF64" s="252"/>
    </row>
  </sheetData>
  <sheetProtection sheet="1" pivotTables="0"/>
  <conditionalFormatting sqref="I2:I20000">
    <cfRule type="notContainsBlanks" dxfId="2" priority="1">
      <formula>LEN(TRIM(I2))&gt;0</formula>
    </cfRule>
  </conditionalFormatting>
  <conditionalFormatting sqref="J2:L20000">
    <cfRule type="notContainsBlanks" dxfId="1" priority="4">
      <formula>LEN(TRIM(J2))&gt;0</formula>
    </cfRule>
  </conditionalFormatting>
  <conditionalFormatting sqref="M2:X20000">
    <cfRule type="notContainsBlanks" dxfId="0" priority="2">
      <formula>LEN(TRIM(M2))&gt;0</formula>
    </cfRule>
  </conditionalFormatting>
  <dataValidations count="4">
    <dataValidation allowBlank="1" showInputMessage="1" showErrorMessage="1" prompt="1: Ongoing, applies to everyone_x000a_2: Ongoing, applies to existing stakeholders only_x000a_3: Ongoing, applies to new entrants only_x000a_4: Upfront, applies to everyone_x000a_5: Upfront, applies to existing stakeholders only_x000a_6: Upfront, applies to new entrants only" sqref="AB1" xr:uid="{CF313DA6-194B-48E5-B1D7-1E1EA50D196F}"/>
    <dataValidation allowBlank="1" showInputMessage="1" showErrorMessage="1" prompt="This is used to calculate the growing stakeholder counts depending on the period and the start of the activity." sqref="AC1" xr:uid="{74CB358A-2ED0-4CCE-B5D3-1BA7213525F7}"/>
    <dataValidation allowBlank="1" showInputMessage="1" showErrorMessage="1" prompt="This is needed to calculate the number of affected stakeholders at the time that the activity comes into force (called P0). " sqref="AD1" xr:uid="{68DF84DE-EE46-4945-802D-8D0C8EDEDBED}"/>
    <dataValidation allowBlank="1" showInputMessage="1" showErrorMessage="1" prompt="This is the exponent for discounting. It updates based on the period, frequency, and activity start. " sqref="AE1" xr:uid="{2F6E5207-A03D-4F8F-8183-4EBE2974A1BA}"/>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B2D09D-19FD-4376-AE4D-3326423866B0}">
  <sheetPr codeName="Sheet15">
    <tabColor rgb="FFC00000"/>
  </sheetPr>
  <dimension ref="B1:DF92"/>
  <sheetViews>
    <sheetView zoomScaleNormal="100" zoomScaleSheetLayoutView="86" workbookViewId="0"/>
  </sheetViews>
  <sheetFormatPr defaultColWidth="8.6640625" defaultRowHeight="14.4" x14ac:dyDescent="0.3"/>
  <cols>
    <col min="1" max="1" width="21.6640625" customWidth="1"/>
    <col min="2" max="2" width="21.88671875" customWidth="1"/>
    <col min="3" max="3" width="22.88671875" customWidth="1"/>
    <col min="4" max="4" width="26.109375" customWidth="1"/>
    <col min="5" max="5" width="26.5546875" customWidth="1"/>
    <col min="6" max="6" width="18.5546875" customWidth="1"/>
    <col min="7" max="7" width="25.5546875" bestFit="1" customWidth="1"/>
    <col min="8" max="8" width="27.5546875" customWidth="1"/>
    <col min="9" max="9" width="108.44140625" customWidth="1"/>
    <col min="10" max="10" width="15.88671875" customWidth="1"/>
    <col min="11" max="11" width="11.33203125" customWidth="1"/>
    <col min="12" max="12" width="10.6640625" customWidth="1"/>
    <col min="13" max="13" width="8.5546875" customWidth="1"/>
    <col min="14" max="14" width="18.5546875" customWidth="1"/>
    <col min="15" max="15" width="17.44140625" customWidth="1"/>
    <col min="16" max="16" width="78" customWidth="1"/>
    <col min="17" max="17" width="14.44140625" customWidth="1"/>
    <col min="18" max="18" width="121.44140625" customWidth="1"/>
    <col min="19" max="19" width="25.5546875" customWidth="1"/>
    <col min="20" max="20" width="68.44140625" customWidth="1"/>
    <col min="21" max="21" width="23" customWidth="1"/>
    <col min="23" max="23" width="34" customWidth="1"/>
    <col min="25" max="25" width="15" customWidth="1"/>
    <col min="26" max="26" width="9.44140625" customWidth="1"/>
    <col min="27" max="27" width="15.5546875" customWidth="1"/>
    <col min="28" max="28" width="18.5546875" customWidth="1"/>
    <col min="29" max="29" width="14.88671875" customWidth="1"/>
    <col min="30" max="34" width="14.5546875" customWidth="1"/>
    <col min="35" max="35" width="36.44140625" customWidth="1"/>
    <col min="39" max="39" width="16.44140625" customWidth="1"/>
    <col min="40" max="40" width="16.88671875" customWidth="1"/>
    <col min="41" max="41" width="17" customWidth="1"/>
    <col min="44" max="44" width="134" customWidth="1"/>
    <col min="45" max="45" width="42" customWidth="1"/>
    <col min="46" max="46" width="30.5546875" customWidth="1"/>
    <col min="47" max="47" width="40" customWidth="1"/>
    <col min="48" max="48" width="32.5546875" customWidth="1"/>
    <col min="49" max="49" width="31.5546875" customWidth="1"/>
    <col min="50" max="50" width="26.88671875" customWidth="1"/>
    <col min="51" max="51" width="27.109375" customWidth="1"/>
    <col min="52" max="52" width="26.33203125" customWidth="1"/>
    <col min="53" max="53" width="30.5546875" customWidth="1"/>
    <col min="54" max="54" width="32.109375" customWidth="1"/>
    <col min="55" max="55" width="33.5546875" customWidth="1"/>
    <col min="56" max="56" width="31" customWidth="1"/>
    <col min="57" max="57" width="37.5546875" customWidth="1"/>
    <col min="58" max="58" width="32.44140625" customWidth="1"/>
    <col min="59" max="59" width="30.109375" customWidth="1"/>
    <col min="60" max="60" width="50.44140625" customWidth="1"/>
    <col min="61" max="61" width="81.44140625" customWidth="1"/>
    <col min="63" max="63" width="9.88671875" bestFit="1" customWidth="1"/>
    <col min="66" max="66" width="64.5546875" customWidth="1"/>
    <col min="74" max="74" width="24.6640625" customWidth="1"/>
    <col min="75" max="75" width="16.109375" customWidth="1"/>
    <col min="76" max="76" width="20.109375" customWidth="1"/>
    <col min="77" max="77" width="11.33203125" customWidth="1"/>
    <col min="78" max="78" width="16.44140625" customWidth="1"/>
    <col min="79" max="79" width="20.5546875" customWidth="1"/>
    <col min="80" max="80" width="10.44140625" bestFit="1" customWidth="1"/>
    <col min="81" max="81" width="9.44140625" bestFit="1" customWidth="1"/>
    <col min="82" max="82" width="14.33203125" customWidth="1"/>
    <col min="83" max="83" width="15.5546875" customWidth="1"/>
    <col min="84" max="84" width="18" customWidth="1"/>
    <col min="85" max="85" width="19.109375" customWidth="1"/>
    <col min="86" max="86" width="11.44140625" customWidth="1"/>
    <col min="87" max="87" width="21.33203125" customWidth="1"/>
    <col min="88" max="88" width="18.109375" customWidth="1"/>
    <col min="89" max="89" width="17.44140625" customWidth="1"/>
    <col min="90" max="90" width="19.5546875" customWidth="1"/>
    <col min="91" max="91" width="22.88671875" customWidth="1"/>
    <col min="92" max="92" width="17.88671875" customWidth="1"/>
    <col min="93" max="93" width="12.5546875" customWidth="1"/>
    <col min="94" max="94" width="11.44140625" customWidth="1"/>
    <col min="95" max="96" width="13.44140625" customWidth="1"/>
    <col min="97" max="97" width="15.44140625" customWidth="1"/>
    <col min="100" max="100" width="9" bestFit="1" customWidth="1"/>
    <col min="101" max="101" width="9.44140625" bestFit="1" customWidth="1"/>
    <col min="102" max="102" width="9" bestFit="1" customWidth="1"/>
    <col min="103" max="103" width="14.44140625" customWidth="1"/>
    <col min="104" max="104" width="10.44140625" customWidth="1"/>
    <col min="105" max="105" width="10.88671875" customWidth="1"/>
    <col min="106" max="106" width="13.5546875" customWidth="1"/>
    <col min="108" max="108" width="28.109375" bestFit="1" customWidth="1"/>
    <col min="109" max="109" width="27.44140625" customWidth="1"/>
    <col min="110" max="110" width="16.5546875" customWidth="1"/>
  </cols>
  <sheetData>
    <row r="1" spans="2:110" ht="72" x14ac:dyDescent="0.3">
      <c r="B1" s="110" t="s">
        <v>222</v>
      </c>
      <c r="C1" s="110" t="s">
        <v>223</v>
      </c>
      <c r="D1" s="110" t="s">
        <v>224</v>
      </c>
      <c r="E1" s="110" t="s">
        <v>225</v>
      </c>
      <c r="F1" s="110" t="s">
        <v>226</v>
      </c>
      <c r="G1" s="110" t="s">
        <v>227</v>
      </c>
      <c r="H1" s="112" t="s">
        <v>228</v>
      </c>
      <c r="I1" s="111" t="s">
        <v>229</v>
      </c>
      <c r="J1" s="7" t="str">
        <f>tbl_Wages[[#Headers],[Wage in price year of analysis (without overhead)]]</f>
        <v>Wage in price year of analysis (without overhead)</v>
      </c>
      <c r="K1" s="7" t="s">
        <v>230</v>
      </c>
      <c r="L1" s="7" t="s">
        <v>231</v>
      </c>
      <c r="M1" s="7" t="s">
        <v>232</v>
      </c>
      <c r="R1" t="s">
        <v>62</v>
      </c>
      <c r="BV1" s="4" t="s">
        <v>3</v>
      </c>
      <c r="BW1" s="5" t="s">
        <v>4</v>
      </c>
      <c r="BX1" s="5" t="s">
        <v>5</v>
      </c>
      <c r="BY1" s="5" t="s">
        <v>6</v>
      </c>
      <c r="BZ1" s="5" t="s">
        <v>0</v>
      </c>
      <c r="CA1" s="5" t="s">
        <v>7</v>
      </c>
      <c r="CB1" s="108" t="s">
        <v>2</v>
      </c>
      <c r="CC1" s="5" t="s">
        <v>8</v>
      </c>
      <c r="CD1" s="5" t="s">
        <v>9</v>
      </c>
      <c r="CE1" s="5" t="s">
        <v>10</v>
      </c>
      <c r="CF1" s="5" t="s">
        <v>11</v>
      </c>
      <c r="CG1" s="5" t="s">
        <v>12</v>
      </c>
      <c r="CH1" s="5" t="str">
        <f>"Cost Per Event ("&amp;PriceYear&amp;" CAD)"</f>
        <v>Cost Per Event (2024 CAD)</v>
      </c>
      <c r="CI1" s="4" t="s">
        <v>13</v>
      </c>
      <c r="CJ1" s="4" t="s">
        <v>14</v>
      </c>
      <c r="CK1" s="4" t="s">
        <v>15</v>
      </c>
      <c r="CL1" s="5" t="s">
        <v>16</v>
      </c>
      <c r="CM1" s="5" t="s">
        <v>17</v>
      </c>
      <c r="CN1" s="5" t="s">
        <v>18</v>
      </c>
      <c r="CO1" s="5" t="s">
        <v>19</v>
      </c>
      <c r="CP1" s="5" t="s">
        <v>20</v>
      </c>
      <c r="CQ1" s="5" t="s">
        <v>21</v>
      </c>
      <c r="CR1" s="5" t="s">
        <v>22</v>
      </c>
      <c r="CS1" s="5" t="s">
        <v>23</v>
      </c>
      <c r="CV1" s="5" t="s">
        <v>24</v>
      </c>
      <c r="CW1" s="4" t="s">
        <v>25</v>
      </c>
      <c r="CX1" s="4" t="s">
        <v>26</v>
      </c>
      <c r="CY1" s="4" t="s">
        <v>27</v>
      </c>
      <c r="CZ1" s="4" t="s">
        <v>28</v>
      </c>
      <c r="DA1" s="4" t="s">
        <v>29</v>
      </c>
      <c r="DB1" s="4" t="s">
        <v>30</v>
      </c>
      <c r="DC1" s="91"/>
      <c r="DD1" s="109" t="str">
        <f>"{undiscounted, discounted}:"</f>
        <v>{undiscounted, discounted}:</v>
      </c>
      <c r="DE1" s="7" t="s">
        <v>233</v>
      </c>
      <c r="DF1" s="7" t="s">
        <v>234</v>
      </c>
    </row>
    <row r="2" spans="2:110" ht="61.5" customHeight="1" x14ac:dyDescent="0.3">
      <c r="B2" t="str" cm="1">
        <f t="array" ref="B2">IFERROR(IF(_xlfn.SEQUENCE(ROWS(_xlfn.UNIQUE(_xlfn._xlws.FILTER(tbl_Stakeholders[Stakeholder Group], tbl_Stakeholders[Stakeholder Group]&lt;&gt;"")))+1)&lt;=ROWS(_xlfn.UNIQUE(_xlfn._xlws.FILTER(tbl_Stakeholders[Stakeholder Group], tbl_Stakeholders[Stakeholder Group]&lt;&gt;""))),_xlfn.UNIQUE(_xlfn._xlws.FILTER(tbl_Stakeholders[Stakeholder Group], tbl_Stakeholders[Stakeholder Group]&lt;&gt;"")), "All Groups"), "")</f>
        <v/>
      </c>
      <c r="C2" s="73" cm="1">
        <f t="array" ref="C2:C12">_xlfn.SEQUENCE(11, , 0, 1%)</f>
        <v>0</v>
      </c>
      <c r="D2" cm="1">
        <f t="array" ref="D2:D92">_xlfn.SEQUENCE(91, , 10)</f>
        <v>10</v>
      </c>
      <c r="E2" cm="1">
        <f t="array" ref="E2:E40">_xlfn.SEQUENCE(2050-2012+1, , 2012)</f>
        <v>2012</v>
      </c>
      <c r="F2" cm="1">
        <f t="array" ref="F2:F24">_xlfn._xlws.SORT(tbl_CPI[Year], , -1)</f>
        <v>2024</v>
      </c>
      <c r="G2" t="str" cm="1">
        <f t="array" ref="G2:G13">IF(_xlfn.SEQUENCE(2+Time)=1, "Start of Analytical Period", IF(_xlfn.SEQUENCE(2+Time)=2, "End of Analytical Period", _xlfn.SEQUENCE(Time+2, , YearOfRegistration-2)))</f>
        <v>Start of Analytical Period</v>
      </c>
      <c r="H2" s="116">
        <v>2</v>
      </c>
      <c r="I2" t="str" cm="1">
        <f t="array" ref="I2:I53">tbl_Wages[Number] &amp; " " &amp; tbl_Wages[National Occupational Classification (NOC)]&amp; IFERROR(" ("&amp;DOLLAR(tbl_Wages[Wage in price year of analysis (without overhead)], H2)&amp;")", " (custom wage not added yet)")</f>
        <v>01 Canada average ($34.12)</v>
      </c>
      <c r="J2" s="3" cm="1">
        <f t="array" ref="J2:J53">tbl_Wages[Wage in price year of analysis (without overhead)]</f>
        <v>34.12307203389831</v>
      </c>
      <c r="K2" s="131" cm="1">
        <f t="array" ref="K2:K9">_xlfn.SEQUENCE(Time-2, , YearOfRegistration+1)</f>
        <v>2026</v>
      </c>
      <c r="L2" s="131" t="str" cm="1">
        <f t="array" ref="L2">IF(ISBLANK('Cost-benefit Statement'!$C$14), "", _xlfn.TAKE(_xlfn.DROP(_xlfn._xlws.SORT(_xlfn.HSTACK(_xlfn.ANCHORARRAY(Controls!$K$2), IF(_xlfn.ANCHORARRAY(Controls!$K$2)='Cost-benefit Statement'!$C$14, 1, 0)), 2), -1),, 1))</f>
        <v/>
      </c>
      <c r="M2" s="131" t="str" cm="1">
        <f t="array" ref="M2">IF(ISBLANK('Cost-benefit Statement'!$C$15), "", _xlfn.TAKE(_xlfn.DROP(_xlfn._xlws.SORT(_xlfn.HSTACK(_xlfn.ANCHORARRAY(Controls!$L$2), IF(_xlfn.ANCHORARRAY(Controls!$L$2)='Cost-benefit Statement'!$C$15, 1, 0)), 2), -1),, 1))</f>
        <v/>
      </c>
      <c r="N2" s="13" t="s">
        <v>235</v>
      </c>
      <c r="O2" s="13" t="s">
        <v>132</v>
      </c>
      <c r="P2" s="13" t="s">
        <v>236</v>
      </c>
      <c r="R2" s="42" t="str">
        <f>IF(OneForOneLanding=0,R5,R4)</f>
        <v>The one-for-one rule does not apply as there is no impact on business.</v>
      </c>
      <c r="S2" s="42"/>
      <c r="T2" s="42"/>
      <c r="U2" s="92"/>
      <c r="BV2" s="17" t="s">
        <v>237</v>
      </c>
      <c r="BW2" s="17" t="s">
        <v>238</v>
      </c>
      <c r="BX2" s="17" t="s">
        <v>239</v>
      </c>
      <c r="BY2" s="17" t="s">
        <v>240</v>
      </c>
      <c r="BZ2" s="17" t="s">
        <v>327</v>
      </c>
      <c r="CA2" s="17" t="s">
        <v>241</v>
      </c>
      <c r="CB2" s="17" t="s">
        <v>242</v>
      </c>
      <c r="CC2" s="17" t="s">
        <v>243</v>
      </c>
      <c r="CD2" s="17" t="s">
        <v>244</v>
      </c>
      <c r="CE2" s="17" t="s">
        <v>328</v>
      </c>
      <c r="CF2" s="17" t="s">
        <v>329</v>
      </c>
      <c r="CG2" s="17" t="s">
        <v>330</v>
      </c>
      <c r="CH2" s="17" t="s">
        <v>245</v>
      </c>
      <c r="CI2" s="17" t="s">
        <v>343</v>
      </c>
      <c r="CJ2" s="17" t="s">
        <v>344</v>
      </c>
      <c r="CK2" s="17" t="s">
        <v>345</v>
      </c>
      <c r="CL2" s="17" t="s">
        <v>246</v>
      </c>
      <c r="CM2" s="17" t="s">
        <v>247</v>
      </c>
      <c r="CN2" s="17" t="s">
        <v>331</v>
      </c>
      <c r="CO2" s="17" t="s">
        <v>332</v>
      </c>
      <c r="CP2" s="17" t="s">
        <v>333</v>
      </c>
      <c r="CQ2" s="17" t="s">
        <v>248</v>
      </c>
      <c r="CR2" s="17" t="s">
        <v>249</v>
      </c>
      <c r="CS2" s="17" t="s">
        <v>334</v>
      </c>
      <c r="CV2" s="17" t="s">
        <v>335</v>
      </c>
      <c r="CW2" s="17" t="s">
        <v>336</v>
      </c>
      <c r="CX2" s="17" t="s">
        <v>337</v>
      </c>
      <c r="CY2" s="17" t="s">
        <v>338</v>
      </c>
      <c r="CZ2" s="17" t="s">
        <v>339</v>
      </c>
      <c r="DA2" s="17" t="s">
        <v>340</v>
      </c>
      <c r="DB2" s="17" t="s">
        <v>341</v>
      </c>
      <c r="DE2" s="7" t="s">
        <v>342</v>
      </c>
    </row>
    <row r="3" spans="2:110" ht="15" thickBot="1" x14ac:dyDescent="0.35">
      <c r="C3" s="73">
        <v>0.01</v>
      </c>
      <c r="D3">
        <v>11</v>
      </c>
      <c r="E3">
        <v>2013</v>
      </c>
      <c r="F3">
        <v>2023</v>
      </c>
      <c r="G3" t="str">
        <v>End of Analytical Period</v>
      </c>
      <c r="I3" t="str">
        <v>02 Management occupations ($55.68)</v>
      </c>
      <c r="J3">
        <v>55.678672316384187</v>
      </c>
      <c r="K3">
        <v>2027</v>
      </c>
      <c r="N3" s="2" t="s">
        <v>250</v>
      </c>
      <c r="O3" s="2">
        <f>0.07/(1-(1.07)^(-10))</f>
        <v>0.14237750272736471</v>
      </c>
      <c r="P3" s="2" t="s">
        <v>251</v>
      </c>
      <c r="V3" s="97" t="s">
        <v>252</v>
      </c>
      <c r="AS3" s="7"/>
      <c r="AT3" s="7"/>
      <c r="AU3" s="7"/>
      <c r="AV3" s="7"/>
      <c r="AW3" s="7"/>
      <c r="AX3" s="7"/>
    </row>
    <row r="4" spans="2:110" ht="15" customHeight="1" thickBot="1" x14ac:dyDescent="0.35">
      <c r="C4" s="73">
        <v>0.02</v>
      </c>
      <c r="D4">
        <v>12</v>
      </c>
      <c r="E4">
        <v>2014</v>
      </c>
      <c r="F4">
        <v>2022</v>
      </c>
      <c r="G4">
        <v>2025</v>
      </c>
      <c r="I4" t="str">
        <v>03 Senior management occupations ($65.36)</v>
      </c>
      <c r="J4">
        <v>65.359943502824862</v>
      </c>
      <c r="K4">
        <v>2028</v>
      </c>
      <c r="N4" s="2" t="s">
        <v>253</v>
      </c>
      <c r="O4" s="2">
        <f>Discount/(1-(1+Discount)^(-Time))</f>
        <v>0.14237750272736471</v>
      </c>
      <c r="P4" s="2" t="s">
        <v>254</v>
      </c>
      <c r="R4" t="str">
        <f>_xlfn.CONCAT(R12, R13)</f>
        <v xml:space="preserve">The one for one rule does not apply as the changes in adminitrative burden on business offset each other, and no regulatory titles are repealed or introduced. The amendments would result in an annualized administrative total cost savings of $0. 
As per the Red Tape Reduction Regulations, the assessment of administrative impacts was conducted for a period of ten years commencing from registration. All values listed in this section are presented in 2012 dollars, discounted to 2012 at a rate of 7%.
The amendments related to Activity Name Not Entered represent an annualized total  of $0. 
</v>
      </c>
      <c r="V4" s="101" t="s">
        <v>3</v>
      </c>
      <c r="W4" s="102" t="s">
        <v>255</v>
      </c>
      <c r="X4" s="102" t="s">
        <v>256</v>
      </c>
      <c r="Y4" s="102" t="s">
        <v>257</v>
      </c>
      <c r="Z4" s="102" t="s">
        <v>2</v>
      </c>
      <c r="AA4" s="102" t="s">
        <v>258</v>
      </c>
      <c r="AB4" s="102" t="s">
        <v>259</v>
      </c>
      <c r="AC4" s="102" t="s">
        <v>260</v>
      </c>
      <c r="AD4" s="98" t="s">
        <v>261</v>
      </c>
      <c r="AE4" s="98" t="s">
        <v>262</v>
      </c>
      <c r="AF4" s="98" t="s">
        <v>263</v>
      </c>
      <c r="AG4" s="98" t="s">
        <v>264</v>
      </c>
      <c r="AH4" s="98" t="s">
        <v>265</v>
      </c>
      <c r="AI4" s="98" t="s">
        <v>266</v>
      </c>
      <c r="AJ4" s="99" t="s">
        <v>267</v>
      </c>
      <c r="AM4" s="100" t="s">
        <v>268</v>
      </c>
      <c r="AN4" s="98" t="s">
        <v>269</v>
      </c>
      <c r="AO4" s="98" t="s">
        <v>270</v>
      </c>
      <c r="AP4" s="98" t="s">
        <v>271</v>
      </c>
      <c r="AQ4" s="98" t="s">
        <v>272</v>
      </c>
      <c r="AR4" s="98" t="s">
        <v>273</v>
      </c>
      <c r="AS4" s="126" t="s">
        <v>274</v>
      </c>
      <c r="AT4" s="126" t="s">
        <v>275</v>
      </c>
      <c r="AU4" s="126" t="s">
        <v>276</v>
      </c>
      <c r="AV4" s="126" t="s">
        <v>277</v>
      </c>
      <c r="AW4" s="98" t="s">
        <v>278</v>
      </c>
      <c r="AX4" s="98" t="s">
        <v>279</v>
      </c>
      <c r="AY4" s="98" t="s">
        <v>280</v>
      </c>
      <c r="AZ4" s="98" t="s">
        <v>281</v>
      </c>
      <c r="BA4" s="98" t="s">
        <v>282</v>
      </c>
      <c r="BB4" s="98" t="s">
        <v>283</v>
      </c>
      <c r="BC4" s="98" t="s">
        <v>284</v>
      </c>
      <c r="BD4" s="98" t="s">
        <v>285</v>
      </c>
      <c r="BE4" s="98" t="s">
        <v>286</v>
      </c>
      <c r="BF4" s="98" t="s">
        <v>287</v>
      </c>
      <c r="BG4" s="98" t="s">
        <v>288</v>
      </c>
      <c r="BH4" s="98" t="s">
        <v>289</v>
      </c>
      <c r="BI4" s="98" t="s">
        <v>290</v>
      </c>
      <c r="BN4" s="41" t="str">
        <f>_xlfn.CONCAT(BN5:BN88)</f>
        <v xml:space="preserve">The amendments related to Activity Name Not Entered represent an annualized total  of $0. 
</v>
      </c>
    </row>
    <row r="5" spans="2:110" ht="66" customHeight="1" x14ac:dyDescent="0.3">
      <c r="C5" s="73">
        <v>0.03</v>
      </c>
      <c r="D5">
        <v>13</v>
      </c>
      <c r="E5">
        <v>2015</v>
      </c>
      <c r="F5">
        <v>2021</v>
      </c>
      <c r="G5">
        <v>2026</v>
      </c>
      <c r="I5" t="str">
        <v>04 Specialized middle management occupations ($60.20)</v>
      </c>
      <c r="J5">
        <v>60.201144067796612</v>
      </c>
      <c r="K5">
        <v>2029</v>
      </c>
      <c r="R5" t="str">
        <f>IF(SUM(tbl_Stakeholders[Small Business Count])+SUM(tbl_Stakeholders[Med/Large Business Count])=0,Controls!R7,IF(AND(Controls!S36=0,'Initiative Details'!D9=0,'Initiative Details'!D10=0),Controls!R8,IF(AND(Controls!S36=0,'Initiative Details'!D9='Initiative Details'!D10),Controls!R9,R10)))</f>
        <v>The one-for-one rule does not apply as there is no impact on business.</v>
      </c>
      <c r="V5" s="12" t="str" cm="1">
        <f t="array" ref="V5">IFERROR(_xlfn._xlws.FILTER(ActivityNumber,(tbl_Activities[Administrative or Compliance]="Administrative")*(NOT(tbl_Activities[Affected Stakeholder Type]="All Non-Businesses"))),"")</f>
        <v/>
      </c>
      <c r="W5" t="str" cm="1">
        <f t="array" ref="W5">_xlfn.XLOOKUP(_xlfn.ANCHORARRAY($V5),ActivityNumber,tbl_Activities[Activity],"Activity Name Not Entered",0,1)</f>
        <v>Activity Name Not Entered</v>
      </c>
      <c r="X5" cm="1">
        <f t="array" ref="X5">_xlfn.XLOOKUP(_xlfn.ANCHORARRAY($V5),ActivityNumber,tbl_Activities[In or Out],0,1)</f>
        <v>0</v>
      </c>
      <c r="Y5" t="str" cm="1">
        <f t="array" ref="Y5">_xlfn.XLOOKUP(_xlfn.ANCHORARRAY($V5),ActivityNumber,tbl_Activities[Capital or Labour],"Activity Name Not Entered",0,1)</f>
        <v>Activity Name Not Entered</v>
      </c>
      <c r="Z5" t="str" cm="1">
        <f t="array" ref="Z5">_xlfn.XLOOKUP(_xlfn.ANCHORARRAY($V5),ActivityNumber,tbl_Activities[Annual Frequency],"Activity Name Not Entered",0,1)</f>
        <v>Activity Name Not Entered</v>
      </c>
      <c r="AA5" t="str" cm="1">
        <f t="array" ref="AA5">IF(_xlfn.ANCHORARRAY($Y5)="Labour", 0, _xlfn.XLOOKUP(_xlfn.ANCHORARRAY($V5),ActivityNumber,tbl_Activities[Capital: Number of Units],"Activity Name Not Entered",0,1))</f>
        <v>Activity Name Not Entered</v>
      </c>
      <c r="AB5" cm="1">
        <f t="array" ref="AB5">IFERROR(IF(_xlfn.ANCHORARRAY($Y5)="Labour", 0, _xlfn.XLOOKUP(_xlfn.ANCHORARRAY($V5),ActivityNumber,tbl_Activities[Capital: Unit Price],"Activity Name Not Entered",0,1)) * _xlfn.LET(_xlpm.CapPriceYear,_xlfn.XLOOKUP(_xlfn.ANCHORARRAY($V5),ActivityNumber,tbl_Activities[Capital: Price Year of Unit Price],"2012",0,1),CPI!$D$25/_xlfn.XLOOKUP(_xlpm.CapPriceYear,tbl_CPI[Year],tbl_CPI[Index])),0)</f>
        <v>0</v>
      </c>
      <c r="AC5" cm="1">
        <f t="array" ref="AC5">IF(_xlfn.ANCHORARRAY(Y5)="Labour",_xlfn.XLOOKUP(_xlfn.ANCHORARRAY($V5),ActivityNumber,tbl_Activities[Labour: Time Spent (hours)],0,1),0)</f>
        <v>0</v>
      </c>
      <c r="AD5" cm="1">
        <f t="array" ref="AD5">IF(_xlfn.ANCHORARRAY(Y5)="Labour",_xlfn.LET(_xlpm.IntExt,_xlfn.XLOOKUP(_xlfn.ANCHORARRAY($V5),ActivityNumber,tbl_Activities[Labour: Internal or External Overhead],0,1),IF(_xlpm.IntExt="Internal (25%)",1.25,IF(_xlpm.IntExt= "External (50%)", 1.5,1))) *
_xlfn.LET(_xlpm.WageClass,_xlfn.XLOOKUP(_xlfn.ANCHORARRAY($V5),ActivityNumber,LEFT(tbl_Activities[Labour: Staff Level (Wage Without Overhead)], 2),0,1),_xlfn.XLOOKUP(_xlpm.WageClass,tbl_Wages[Number],tbl_Wages[Wage in price year of analysis (without overhead)],"No",-1,1))*
OneforOne_CPI_Conversion,0)</f>
        <v>0</v>
      </c>
      <c r="AE5" t="str" cm="1">
        <f t="array" ref="AE5">IFERROR(_xlfn.ANCHORARRAY(Z5)*_xlfn.ANCHORARRAY(AC5),"")</f>
        <v/>
      </c>
      <c r="AF5" t="str" cm="1">
        <f t="array" ref="AF5">IFERROR(_xlfn.ANCHORARRAY(AE5)*_xlfn.ANCHORARRAY(AD5),"")</f>
        <v/>
      </c>
      <c r="AG5" t="str" cm="1">
        <f t="array" ref="AG5">IFERROR(_xlfn.ANCHORARRAY(Z5)*_xlfn.ANCHORARRAY(AA5),"")</f>
        <v/>
      </c>
      <c r="AH5" t="str" cm="1">
        <f t="array" ref="AH5">IFERROR(_xlfn.ANCHORARRAY(AG5)*_xlfn.ANCHORARRAY(AB5),"")</f>
        <v/>
      </c>
      <c r="AI5" cm="1">
        <f t="array" ref="AI5">(((SUMIFS(_xlfn.ANCHORARRAY('Full Output'!$X2),_xlfn.ANCHORARRAY('Full Output'!$A2),_xlfn.ANCHORARRAY($V5),_xlfn.ANCHORARRAY('Full Output'!$E2),"&lt;"&amp;YearOfRegistration+"10")*OneforOne_CPI_Conversion)*1.07^-Years_since_2012)*0.07)/(1-(1+'One-for-one'!$C$9)^-10)</f>
        <v>0</v>
      </c>
      <c r="AJ5" s="125" cm="1">
        <f t="array" ref="AJ5">_xlfn.MAXIFS(_xlfn.ANCHORARRAY('Full Output'!$K2),_xlfn.ANCHORARRAY('Full Output'!$A2),_xlfn.ANCHORARRAY($V5))+_xlfn.MAXIFS(_xlfn.ANCHORARRAY('Full Output'!$L2),_xlfn.ANCHORARRAY('Full Output'!$A2),_xlfn.ANCHORARRAY($V5))</f>
        <v>0</v>
      </c>
      <c r="AM5" s="7" t="str" cm="1">
        <f t="array" ref="AM5">_xlfn.UNIQUE(_xlfn.ANCHORARRAY(W5))</f>
        <v>Activity Name Not Entered</v>
      </c>
      <c r="AN5" s="93" cm="1">
        <f t="array" ref="AN5">SUMIFS(_xlfn.ANCHORARRAY($AI5),_xlfn.ANCHORARRAY($W5),_xlfn.ANCHORARRAY($AM5),_xlfn.ANCHORARRAY($Y5),"Labour",_xlfn.ANCHORARRAY($X5),"In")</f>
        <v>0</v>
      </c>
      <c r="AO5" s="93" cm="1">
        <f t="array" ref="AO5">SUMIFS(_xlfn.ANCHORARRAY($AI5),_xlfn.ANCHORARRAY($W5),_xlfn.ANCHORARRAY($AM5),_xlfn.ANCHORARRAY($Y5),"Labour",_xlfn.ANCHORARRAY($X5),"Out")</f>
        <v>0</v>
      </c>
      <c r="AP5" s="93" cm="1">
        <f t="array" ref="AP5">SUMIFS(_xlfn.ANCHORARRAY($AI5),_xlfn.ANCHORARRAY($W5),_xlfn.ANCHORARRAY($AM5),_xlfn.ANCHORARRAY($Y5),"Capital",_xlfn.ANCHORARRAY($X5),"In")</f>
        <v>0</v>
      </c>
      <c r="AQ5" s="93" cm="1">
        <f t="array" ref="AQ5">SUMIFS(_xlfn.ANCHORARRAY($AI5),_xlfn.ANCHORARRAY($W5),_xlfn.ANCHORARRAY($AM5),_xlfn.ANCHORARRAY($Y5),"Capital",_xlfn.ANCHORARRAY($X5),"Out")</f>
        <v>0</v>
      </c>
      <c r="AR5" s="104" t="str" cm="1">
        <f t="array" ref="AR5">$U$21&amp;_xlfn.ANCHORARRAY(AM5)&amp;" represent "&amp;IF(--(_xlfn.ANCHORARRAY(AN5)+_xlfn.ANCHORARRAY(AP5)=0)+--(_xlfn.ANCHORARRAY(AO5)+_xlfn.ANCHORARRAY(AQ5)=0)&gt;0,"an annualized total ","an annualized net ")&amp;IF((_xlfn.ANCHORARRAY(AN5)+_xlfn.ANCHORARRAY(AO5)+_xlfn.ANCHORARRAY(AP5)+_xlfn.ANCHORARRAY(AQ5))&gt;0,"cost",IF((_xlfn.ANCHORARRAY(AN5)+_xlfn.ANCHORARRAY(AO5)+_xlfn.ANCHORARRAY(AP5)+_xlfn.ANCHORARRAY(AQ5))&lt;0,"cost savings",""))
&amp;" of "&amp;DOLLAR(ABS(_xlfn.ANCHORARRAY($AN5)+_xlfn.ANCHORARRAY(AO5)+_xlfn.ANCHORARRAY(AP5)+_xlfn.ANCHORARRAY(AQ5)),0)&amp;". "</f>
        <v xml:space="preserve">The amendments related to Activity Name Not Entered represent an annualized total  of $0. </v>
      </c>
      <c r="AS5" t="str" cm="1">
        <f t="array" ref="AS5">_xlfn.LET(_xlpm.BizCount, _xlfn.MAXIFS(_xlfn.ANCHORARRAY($AJ5),_xlfn.ANCHORARRAY($W5),_xlfn.ANCHORARRAY($AM5),_xlfn.ANCHORARRAY($X5),"In",_xlfn.ANCHORARRAY($Y5),"Labour",_xlfn.ANCHORARRAY(AJ5),"&gt;0"),IF(_xlpm.BizCount=1,"One business would spend ",IF(_xlpm.BizCount=0, "", IF(_xlpm.BizCount&lt;1,"Up to one business would spend ", IF(_xlpm.BizCount&lt;10, "Up to " &amp;INDEX(tbl_NumberWord[], ROUND(_xlpm.BizCount, 0),2)  &amp; " business"&amp; IF(ROUND(_xlpm.BizCount, 0)&gt;1, "es", "") &amp; " would spend ", "Up to " &amp; ROUND(_xlpm.BizCount,0) &amp; " businesses would spend ")))))</f>
        <v/>
      </c>
      <c r="AT5" t="str" cm="1">
        <f t="array" ref="AT5">_xlfn.LET(_xlpm.BizCount, _xlfn.MAXIFS(_xlfn.ANCHORARRAY($AJ5),_xlfn.ANCHORARRAY($W5),_xlfn.ANCHORARRAY($AM5),_xlfn.ANCHORARRAY($X5),"Out",_xlfn.ANCHORARRAY($Y5),"Labour"),IF(_xlpm.BizCount=1,"One business would save ", IF(_xlpm.BizCount=0, "", IF(_xlpm.BizCount&lt;1,"Up to one business would save ", IF(_xlpm.BizCount&lt;10, "Up to " &amp;INDEX(tbl_NumberWord[], ROUND(_xlpm.BizCount, 0),2)  &amp; " business"&amp;IF(ROUND(_xlpm.BizCount, 0)&gt;1, "es", "") &amp; " would save ", "Up to " &amp; ROUND(_xlpm.BizCount,0) &amp; " businesses would save ")))))</f>
        <v/>
      </c>
      <c r="AU5" t="str" cm="1">
        <f t="array" ref="AU5">_xlfn.LET(_xlpm.BizCount, _xlfn.MAXIFS(_xlfn.ANCHORARRAY($AJ5),_xlfn.ANCHORARRAY($W5),_xlfn.ANCHORARRAY($AM5),_xlfn.ANCHORARRAY($X5),"In",_xlfn.ANCHORARRAY($Y5),"Capital"),IF(_xlpm.BizCount=1,"One business would spend ", IF(_xlpm.BizCount=0, "", IF(_xlpm.BizCount&lt;1,"Up to one business would spend ", IF(_xlpm.BizCount&lt;10, "Up to " &amp;INDEX(tbl_NumberWord[], ROUND(_xlpm.BizCount, 0),2)  &amp; " business" &amp;IF(ROUND(_xlpm.BizCount, 0)&gt;1, "es", "") &amp; " would spend ", "Up to " &amp; ROUND(_xlpm.BizCount,0) &amp; " businesses would spend ")))))</f>
        <v/>
      </c>
      <c r="AV5" t="str" cm="1">
        <f t="array" ref="AV5">_xlfn.LET(_xlpm.BizCount, _xlfn.MAXIFS(_xlfn.ANCHORARRAY($AJ5),_xlfn.ANCHORARRAY($W5),_xlfn.ANCHORARRAY($AM5),_xlfn.ANCHORARRAY($X5),"Out",_xlfn.ANCHORARRAY($Y5),"Capital"),IF(_xlpm.BizCount=1,"One business would save ", IF(_xlpm.BizCount=0, "", IF(_xlpm.BizCount&lt;1,"Up to one business would save ", IF(_xlpm.BizCount&lt;10, "Up to " &amp;INDEX(tbl_NumberWord[], ROUND(_xlpm.BizCount, 0),2)  &amp; " business"&amp;IF(ROUND(_xlpm.BizCount, 0)&gt;1, "es", "")&amp; " would save ", "Up to " &amp; ROUND(_xlpm.BizCount,0) &amp; " businesses would save ")))))</f>
        <v/>
      </c>
      <c r="AW5" s="40" t="str" cm="1">
        <f t="array" ref="AW5">_xlfn.LET(_xlpm.AVGLabHours, SUMIFS(_xlfn.ANCHORARRAY($AC5),_xlfn.ANCHORARRAY($W5),_xlfn.ANCHORARRAY($AM5),_xlfn.ANCHORARRAY($X5),"in",_xlfn.ANCHORARRAY(AJ5),"&gt;0"), IF(_xlpm.AVGLabHours=0,"",IF(_xlpm.AVGLabHours&lt;1,_xlpm.AVGLabHours * 60 &amp; " minutes",IF(_xlpm.AVGLabHours=1, "one hour",IF(_xlpm.AVGLabHours&lt;10,INDEX(tbl_NumberWord[],_xlpm.AVGLabHours,2) &amp; " hours", ROUND(_xlpm.AVGLabHours, 2) &amp;" hours"))) &amp; " to complete the task "))</f>
        <v/>
      </c>
      <c r="AX5" s="40" t="str" cm="1">
        <f t="array" ref="AX5">_xlfn.LET(_xlpm.AVGLabHours, SUMIFS(_xlfn.ANCHORARRAY($AC5),_xlfn.ANCHORARRAY($W5),_xlfn.ANCHORARRAY($AM5),_xlfn.ANCHORARRAY($X5),"out",_xlfn.ANCHORARRAY(AJ5),"&gt;0"), IF(_xlpm.AVGLabHours=0,"",IF(_xlpm.AVGLabHours&lt;1,_xlpm.AVGLabHours * 60 &amp; " minutes",IF(_xlpm.AVGLabHours=1, "one hour",IF(_xlpm.AVGLabHours&lt;10,INDEX(tbl_NumberWord[],_xlpm.AVGLabHours,2) &amp; " hours", ROUND(_xlpm.AVGLabHours, 2) &amp;" hours"))) &amp; " by not having to complete this task "))</f>
        <v/>
      </c>
      <c r="AY5" s="40" t="str" cm="1">
        <f t="array" ref="AY5">_xlfn.LET(_xlpm.CapUnits, SUMIFS(_xlfn.ANCHORARRAY($AA5),_xlfn.ANCHORARRAY($W5),_xlfn.ANCHORARRAY($AM5),_xlfn.ANCHORARRAY($X5),"In",_xlfn.ANCHORARRAY(AJ5),"&gt;0"),IF(_xlpm.CapUnits=0,"",IF(_xlpm.CapUnits &lt;1, _xlpm.CapUnits &amp; " units ",IF(_xlpm.CapUnits =1, "one unit ",IF(_xlpm.CapUnits&lt;10,INDEX(tbl_NumberWord[],_xlpm.CapUnits,2) &amp; " units ", _xlpm.CapUnits &amp;" units ")))))</f>
        <v/>
      </c>
      <c r="AZ5" s="40" t="str" cm="1">
        <f t="array" ref="AZ5">_xlfn.LET(_xlpm.CapUnits, SUMIFS(_xlfn.ANCHORARRAY($AA5),_xlfn.ANCHORARRAY($W5),_xlfn.ANCHORARRAY($AM5),_xlfn.ANCHORARRAY($X5),"out",_xlfn.ANCHORARRAY(AJ5),"&gt;0"),IF(_xlpm.CapUnits=0,"",IF(_xlpm.CapUnits &lt;1, _xlpm.CapUnits &amp; " units ",IF(_xlpm.CapUnits =1, "one unit",IF(_xlpm.CapUnits&lt;10,INDEX(tbl_NumberWord[],_xlpm.CapUnits,2) &amp; " units", _xlpm.CapUnits &amp;" units")))))</f>
        <v/>
      </c>
      <c r="BA5" s="40" t="str" cm="1">
        <f t="array" ref="BA5">_xlfn.LET(_xlpm.LabFreq, _xlfn.MAXIFS(_xlfn.ANCHORARRAY($Z5),_xlfn.ANCHORARRAY($W5),_xlfn.ANCHORARRAY($AM5),_xlfn.ANCHORARRAY($X5),"In",_xlfn.ANCHORARRAY($Y5),"Labour",_xlfn.ANCHORARRAY(AJ5),"&gt;0"),IF(_xlpm.LabFreq=0,"",IF(_xlpm.LabFreq&lt;1, "every " &amp; ROUND(1/_xlpm.LabFreq,0) &amp; " years. ",IF(_xlpm.LabFreq=1, "once per year. ",IF(_xlpm.LabFreq&lt;10,INDEX(tbl_NumberWord[],_xlpm.LabFreq,2)&amp; " times per year. ",_xlpm.LabFreq &amp; " times per year. "))) ))</f>
        <v/>
      </c>
      <c r="BB5" s="40" t="str" cm="1">
        <f t="array" ref="BB5">_xlfn.LET(_xlpm.LabFreq, _xlfn.MAXIFS(_xlfn.ANCHORARRAY($Z5),_xlfn.ANCHORARRAY($W5),_xlfn.ANCHORARRAY($AM5),_xlfn.ANCHORARRAY($X5),"out",_xlfn.ANCHORARRAY($Y5),"Labour",_xlfn.ANCHORARRAY(AJ5),"&gt;0"),IF(_xlpm.LabFreq=0,"",IF(_xlpm.LabFreq&lt;1, "every " &amp; ROUND(1/_xlpm.LabFreq,0) &amp; " years. ",IF(_xlpm.LabFreq=1, "once per year. ",IF(_xlpm.LabFreq&lt;10,INDEX(tbl_NumberWord[],_xlpm.LabFreq,2) &amp;" times per year. ",_xlpm.LabFreq&amp; " times per year. "))) ))</f>
        <v/>
      </c>
      <c r="BC5" s="40" t="str" cm="1">
        <f t="array" ref="BC5">_xlfn.LET(_xlpm.LabFreq, _xlfn.MAXIFS(_xlfn.ANCHORARRAY($Z5),_xlfn.ANCHORARRAY($W5),_xlfn.ANCHORARRAY($AM5),_xlfn.ANCHORARRAY($X5),"in",_xlfn.ANCHORARRAY($Y5),"Capital",_xlfn.ANCHORARRAY(AJ5),"&gt;0"),IF(_xlpm.LabFreq=0,"",IF(_xlpm.LabFreq&lt;1, "every " &amp; ROUND(1/_xlpm.LabFreq,0) &amp; " years. ",IF(_xlpm.LabFreq=1, "once per year. ",IF(_xlpm.LabFreq&lt;10,INDEX(tbl_NumberWord[],_xlpm.LabFreq,2)&amp; " times per year. ",_xlpm.LabFreq&amp; " times per year. "))) ))</f>
        <v/>
      </c>
      <c r="BD5" s="40" t="str" cm="1">
        <f t="array" ref="BD5">_xlfn.LET(_xlpm.LabFreq, _xlfn.MAXIFS(_xlfn.ANCHORARRAY($Z5),_xlfn.ANCHORARRAY($W5),_xlfn.ANCHORARRAY($AM5),_xlfn.ANCHORARRAY($X5),"out",_xlfn.ANCHORARRAY($Y5),"Capital",_xlfn.ANCHORARRAY(AJ5),"&gt;0"),IF(_xlpm.LabFreq=0,"",IF(_xlpm.LabFreq&lt;1, "every " &amp; ROUND(1/_xlpm.LabFreq,0) &amp; " years. ",IF(_xlpm.LabFreq=1, " once per year. ",IF(_xlpm.LabFreq&lt;10,INDEX(tbl_NumberWord[],_xlpm.LabFreq,2)&amp; " times per year. ",_xlpm.LabFreq&amp; " times per year. "))) ))</f>
        <v/>
      </c>
      <c r="BE5" s="7" t="str" cm="1">
        <f t="array" ref="BE5">_xlfn.LET(_xlpm.AvgWage, IFERROR(SUMIFS(_xlfn.ANCHORARRAY($AF5),_xlfn.ANCHORARRAY($W5),_xlfn.ANCHORARRAY($AM5),_xlfn.ANCHORARRAY($Y5),"Labour",_xlfn.ANCHORARRAY($X5),"In",_xlfn.ANCHORARRAY(AJ5),"&gt;0")/SUMIFS(_xlfn.ANCHORARRAY($AE5),_xlfn.ANCHORARRAY($W5),_xlfn.ANCHORARRAY($AM5),_xlfn.ANCHORARRAY($Y5),"Labour",_xlfn.ANCHORARRAY($X5),"In",_xlfn.ANCHORARRAY(AJ5),"&gt;0"),0), IF(_xlpm.AvgWage=0,"", "The average wage (including overhead) of the responsible individual is estimated to be " &amp; DOLLAR(_xlpm.AvgWage,2) &amp; ". "))</f>
        <v/>
      </c>
      <c r="BF5" t="str" cm="1">
        <f t="array" ref="BF5">_xlfn.LET(_xlpm.AvgWage, IFERROR(SUMIFS(_xlfn.ANCHORARRAY($AF5),_xlfn.ANCHORARRAY($W5),_xlfn.ANCHORARRAY($AM5),_xlfn.ANCHORARRAY($Y5),"Labour",_xlfn.ANCHORARRAY($X5),"out",_xlfn.ANCHORARRAY(AJ5),"&gt;0")/SUMIFS(_xlfn.ANCHORARRAY($AE5),_xlfn.ANCHORARRAY($W5),_xlfn.ANCHORARRAY($AM5),_xlfn.ANCHORARRAY($Y5),"Labour",_xlfn.ANCHORARRAY($X5),"out",_xlfn.ANCHORARRAY(AJ5),"&gt;0"),0), IF(_xlpm.AvgWage=0,"", "The average wage (including overhead) of the responsible individual is estimated to be " &amp; DOLLAR(_xlpm.AvgWage,2)&amp; ". "))</f>
        <v/>
      </c>
      <c r="BG5" s="105" t="str" cm="1">
        <f t="array" ref="BG5">_xlfn.LET(_xlpm.AvgCapCost, IFERROR(SUMIFS(_xlfn.ANCHORARRAY($AH5),_xlfn.ANCHORARRAY($W5),_xlfn.ANCHORARRAY($AM5),_xlfn.ANCHORARRAY($Y5),"capital",_xlfn.ANCHORARRAY($X5),"In",_xlfn.ANCHORARRAY(AJ5),"&gt;0")/SUMIFS(_xlfn.ANCHORARRAY($AG5),_xlfn.ANCHORARRAY($W5),_xlfn.ANCHORARRAY($AM5),_xlfn.ANCHORARRAY($Y5),"Capital",_xlfn.ANCHORARRAY($X5),"In",_xlfn.ANCHORARRAY(AJ5),"&gt;0"),0), IF(_xlpm.AvgCapCost=0,"","an average of " &amp; DOLLAR(_xlpm.AvgCapCost,2) &amp; " per unit to purchase "))</f>
        <v/>
      </c>
      <c r="BH5" s="6" t="str" cm="1">
        <f t="array" ref="BH5">_xlfn.LET(_xlpm.AvgCapCost, IFERROR(SUMIFS(_xlfn.ANCHORARRAY($AH5),_xlfn.ANCHORARRAY($W5),_xlfn.ANCHORARRAY($AM5),_xlfn.ANCHORARRAY($Y5),"capital",_xlfn.ANCHORARRAY($X5),"out",_xlfn.ANCHORARRAY(AJ5),"&gt;0")/SUMIFS(_xlfn.ANCHORARRAY($AG5),_xlfn.ANCHORARRAY($W5),_xlfn.ANCHORARRAY($AM5),_xlfn.ANCHORARRAY($Y5),"Capital",_xlfn.ANCHORARRAY($X5),"out",_xlfn.ANCHORARRAY(AJ5),"&gt;0"),0), IF(_xlpm.AvgCapCost=0,"","an average of " &amp; DOLLAR(_xlpm.AvgCapCost,2) &amp; " per unit by not having to purchase "))</f>
        <v/>
      </c>
      <c r="BI5" s="7" t="str" cm="1">
        <f t="array" ref="BI5">_xlfn.ANCHORARRAY(AR5)&amp;_xlfn.ANCHORARRAY(AS5)&amp;_xlfn.ANCHORARRAY(AW5)&amp;_xlfn.ANCHORARRAY(BA5)&amp;_xlfn.ANCHORARRAY(BE5)&amp;_xlfn.ANCHORARRAY(AT5)&amp;_xlfn.ANCHORARRAY(AX5)&amp;_xlfn.ANCHORARRAY(BB5)&amp;_xlfn.ANCHORARRAY(BF5)&amp;_xlfn.ANCHORARRAY(AU5)&amp;_xlfn.ANCHORARRAY(BG5)&amp;_xlfn.ANCHORARRAY(AY5)&amp;_xlfn.ANCHORARRAY(BC5)&amp;_xlfn.ANCHORARRAY(AV5)&amp;_xlfn.ANCHORARRAY(BH5)&amp;_xlfn.ANCHORARRAY(AZ5)&amp;_xlfn.ANCHORARRAY(BD5)&amp;CHAR(10)</f>
        <v xml:space="preserve">The amendments related to Activity Name Not Entered represent an annualized total  of $0. 
</v>
      </c>
      <c r="BJ5" s="93"/>
      <c r="BK5" s="93" cm="1">
        <f t="array" ref="BK5">_xlfn.ANCHORARRAY(AN5)+_xlfn.ANCHORARRAY(AO5)+_xlfn.ANCHORARRAY(AP5)+_xlfn.ANCHORARRAY(AQ5)</f>
        <v>0</v>
      </c>
      <c r="BL5" t="str" cm="1">
        <f t="array" ref="BL5">_xlfn.ANCHORARRAY(BI5)</f>
        <v xml:space="preserve">The amendments related to Activity Name Not Entered represent an annualized total  of $0. 
</v>
      </c>
      <c r="BM5" cm="1">
        <f t="array" ref="BM5:BN5">_xlfn._xlws.SORT(_xlfn.ANCHORARRAY(BK5):_xlfn.ANCHORARRAY(BL5),1,-1)</f>
        <v>0</v>
      </c>
      <c r="BN5" s="7" t="str">
        <v xml:space="preserve">The amendments related to Activity Name Not Entered represent an annualized total  of $0. 
</v>
      </c>
    </row>
    <row r="6" spans="2:110" x14ac:dyDescent="0.3">
      <c r="C6" s="73">
        <v>0.04</v>
      </c>
      <c r="D6">
        <v>14</v>
      </c>
      <c r="E6">
        <v>2016</v>
      </c>
      <c r="F6">
        <v>2020</v>
      </c>
      <c r="G6">
        <v>2027</v>
      </c>
      <c r="I6" t="str">
        <v>05 Middle management occupations in retail and wholesale trade and customer services ($44.63)</v>
      </c>
      <c r="J6">
        <v>44.633841807909604</v>
      </c>
      <c r="K6">
        <v>2030</v>
      </c>
      <c r="N6" s="1"/>
      <c r="R6" t="s">
        <v>291</v>
      </c>
      <c r="AB6" s="94"/>
      <c r="AN6" s="93"/>
      <c r="AO6" s="93"/>
      <c r="AR6" s="103"/>
      <c r="AX6" s="7"/>
      <c r="BF6" s="7"/>
      <c r="BG6" s="6"/>
      <c r="BH6" s="6"/>
      <c r="BI6" s="41"/>
    </row>
    <row r="7" spans="2:110" x14ac:dyDescent="0.3">
      <c r="C7" s="73">
        <v>0.05</v>
      </c>
      <c r="D7">
        <v>15</v>
      </c>
      <c r="E7">
        <v>2017</v>
      </c>
      <c r="F7">
        <v>2019</v>
      </c>
      <c r="G7">
        <v>2028</v>
      </c>
      <c r="I7" t="str">
        <v>06 Middle management occupations in trades, transportation, production and utilities ($52.45)</v>
      </c>
      <c r="J7">
        <v>52.451581920903955</v>
      </c>
      <c r="K7">
        <v>2031</v>
      </c>
      <c r="N7" s="3"/>
      <c r="O7" s="3"/>
      <c r="P7" s="3"/>
      <c r="R7" t="s">
        <v>292</v>
      </c>
      <c r="AN7" s="93"/>
      <c r="AO7" s="93"/>
      <c r="BG7" s="6"/>
      <c r="BH7" s="6"/>
      <c r="BI7" s="7"/>
    </row>
    <row r="8" spans="2:110" ht="74.25" customHeight="1" x14ac:dyDescent="0.3">
      <c r="C8" s="73">
        <v>6.0000000000000005E-2</v>
      </c>
      <c r="D8">
        <v>16</v>
      </c>
      <c r="E8">
        <v>2018</v>
      </c>
      <c r="F8">
        <v>2018</v>
      </c>
      <c r="G8">
        <v>2029</v>
      </c>
      <c r="I8" t="str">
        <v>07 Business, finance and administration occupations ($33.94)</v>
      </c>
      <c r="J8">
        <v>33.941264124293788</v>
      </c>
      <c r="K8">
        <v>2032</v>
      </c>
      <c r="N8" s="3"/>
      <c r="O8" s="3"/>
      <c r="P8" s="3"/>
      <c r="R8" t="s">
        <v>293</v>
      </c>
      <c r="AN8" s="93"/>
      <c r="AO8" s="93"/>
      <c r="BG8" s="6"/>
      <c r="BH8" s="6"/>
      <c r="BI8" s="7"/>
    </row>
    <row r="9" spans="2:110" x14ac:dyDescent="0.3">
      <c r="C9" s="73">
        <v>7.0000000000000007E-2</v>
      </c>
      <c r="D9">
        <v>17</v>
      </c>
      <c r="E9">
        <v>2019</v>
      </c>
      <c r="F9">
        <v>2017</v>
      </c>
      <c r="G9">
        <v>2030</v>
      </c>
      <c r="I9" t="str">
        <v>08 Professional occupations in business and finance ($44.44)</v>
      </c>
      <c r="J9">
        <v>44.440670903954803</v>
      </c>
      <c r="K9">
        <v>2033</v>
      </c>
      <c r="R9" t="s">
        <v>294</v>
      </c>
      <c r="AN9" s="93"/>
      <c r="AO9" s="93"/>
      <c r="BG9" s="6"/>
      <c r="BH9" s="6"/>
      <c r="BI9" s="7"/>
    </row>
    <row r="10" spans="2:110" x14ac:dyDescent="0.3">
      <c r="C10" s="73">
        <v>0.08</v>
      </c>
      <c r="D10">
        <v>18</v>
      </c>
      <c r="E10">
        <v>2020</v>
      </c>
      <c r="F10">
        <v>2016</v>
      </c>
      <c r="G10">
        <v>2031</v>
      </c>
      <c r="I10" t="str">
        <v>09 Administrative and financial supervisors and administrative occupations ($32.83)</v>
      </c>
      <c r="J10">
        <v>32.827690677966103</v>
      </c>
      <c r="P10" s="15"/>
      <c r="R10" s="127" t="str">
        <f>"The one-for-one rule applies. There is no incremental change in administrative burden on business. The proposal "
&amp; IF('Initiative Details'!D9&gt;1, "repeals " &amp; 'Initiative Details'!D9 &amp; " existing regulations ", IF('Initiative Details'!D9=1, "an existing regulation ", "does not repeal any existing regulations "))
&amp; "and it adds " &amp; IF('Initiative Details'!D10&gt;1, 'Initiative Details'!D10&amp; " new regulatory titles, ", "a new regulatory title, ") &amp; "which results in " &amp; IF('Initiative Details'!D10-'Initiative Details'!D9&lt;0, "a net decrease ",IF('Initiative Details'!D10-'Initiative Details'!D9&gt;0, "a net increase ", "no net increase or decrease in regulatory titles." )) &amp; "of " &amp; ABS('Initiative Details'!D9-'Initiative Details'!D10) &amp; " regulatory title"&amp;IF(ABS('Initiative Details'!D9-'Initiative Details'!D10)&gt;1, "s", "")&amp;"."</f>
        <v>The one-for-one rule applies. There is no incremental change in administrative burden on business. The proposal does not repeal any existing regulations and it adds a new regulatory title, which results in no net increase or decrease in regulatory titles.of 0 regulatory title.</v>
      </c>
      <c r="AN10" s="93"/>
      <c r="AO10" s="93"/>
      <c r="BG10" s="6"/>
      <c r="BH10" s="6"/>
      <c r="BI10" s="7"/>
    </row>
    <row r="11" spans="2:110" x14ac:dyDescent="0.3">
      <c r="C11" s="73">
        <v>0.09</v>
      </c>
      <c r="D11">
        <v>19</v>
      </c>
      <c r="E11">
        <v>2021</v>
      </c>
      <c r="F11">
        <v>2015</v>
      </c>
      <c r="G11">
        <v>2032</v>
      </c>
      <c r="I11" t="str">
        <v>10 Finance, insurance and related business administrative occupations ($33.32)</v>
      </c>
      <c r="J11">
        <v>33.316299435028256</v>
      </c>
      <c r="AN11" s="93"/>
      <c r="AO11" s="93"/>
      <c r="BG11" s="6"/>
      <c r="BH11" s="6"/>
      <c r="BI11" s="7"/>
    </row>
    <row r="12" spans="2:110" ht="18" customHeight="1" x14ac:dyDescent="0.3">
      <c r="C12" s="73">
        <v>9.9999999999999992E-2</v>
      </c>
      <c r="D12">
        <v>20</v>
      </c>
      <c r="E12">
        <v>2022</v>
      </c>
      <c r="F12">
        <v>2014</v>
      </c>
      <c r="G12">
        <v>2033</v>
      </c>
      <c r="I12" t="str">
        <v>11 Office support occupations ($26.56)</v>
      </c>
      <c r="J12">
        <v>26.555317796610172</v>
      </c>
      <c r="R12" s="7" t="str">
        <f>IF(OneForOneLanding&lt;0,"The one-for-one rule applies since there is an incremental increase in administrative burden on business. The proposal is considered burden IN under the rule, and ",IF(OneForOneLanding&gt;0,"The one-for-one rule applies since there is an incremental decrease in administrative burden on business. The proposal is considered burden OUT under the rule, and ",
"The one for one rule does not apply as the changes in adminitrative burden on business offset each other, and ")) &amp;
_xlfn.XLOOKUP('Initiative Details'!$D$6,Controls!$P$22:$P$26,Controls!$S$22:$S$26,"There is no change in the number of titles",0,1)</f>
        <v xml:space="preserve">The one for one rule does not apply as the changes in adminitrative burden on business offset each other, and no regulatory titles are repealed or introduced. </v>
      </c>
      <c r="S12" s="12"/>
      <c r="U12" s="12"/>
    </row>
    <row r="13" spans="2:110" ht="16.5" customHeight="1" x14ac:dyDescent="0.3">
      <c r="D13">
        <v>21</v>
      </c>
      <c r="E13">
        <v>2023</v>
      </c>
      <c r="F13">
        <v>2013</v>
      </c>
      <c r="G13">
        <v>2034</v>
      </c>
      <c r="I13" t="str">
        <v>12 Distribution, tracking and scheduling co-ordination occupations ($27.09)</v>
      </c>
      <c r="J13">
        <v>27.08937853107345</v>
      </c>
      <c r="R13" s="41" t="str">
        <f>IF('Initiative Details'!$D$6=$P$22, "The amendments ", "The regulations ") &amp; "would result in an annualized administrative "
&amp; IF(AND(COUNTIF(tbl_Activities[In or Out],"out")&gt;0,COUNTIF(tbl_Activities[In or Out],"in")&gt;0),"net ","total ")
&amp;IF(OneForOneLanding&lt;0,"cost of ","cost savings of ")
&amp;DOLLAR(ABS(OneForOneLanding),0)
&amp; ". " &amp; CHAR(10) &amp; R14 &amp; CHAR(10)
&amp;IF(AND(COUNTIF(tbl_Activities[In or Out],"out")&gt;0,COUNTIF(tbl_Activities[In or Out],"in")&gt;0), "The total annualized cost savings from reduced administrative burden is estimated to be " &amp; DOLLAR('One-for-one'!N40,0) &amp; ". " &amp; CHAR(10),  "")
&amp; IF(AND(COUNTIF(tbl_Activities[In or Out],"in")&gt;0,COUNTIF(tbl_Activities[In or Out],"out")&gt;0), "The total annualized cost of the incremental administrative burden is estimated to be " &amp; DOLLAR('One-for-one'!N33,0) &amp; ". " &amp; CHAR(10), "")
&amp;BN4</f>
        <v xml:space="preserve">The amendments would result in an annualized administrative total cost savings of $0. 
As per the Red Tape Reduction Regulations, the assessment of administrative impacts was conducted for a period of ten years commencing from registration. All values listed in this section are presented in 2012 dollars, discounted to 2012 at a rate of 7%.
The amendments related to Activity Name Not Entered represent an annualized total  of $0. 
</v>
      </c>
    </row>
    <row r="14" spans="2:110" x14ac:dyDescent="0.3">
      <c r="D14">
        <v>22</v>
      </c>
      <c r="E14">
        <v>2024</v>
      </c>
      <c r="F14">
        <v>2012</v>
      </c>
      <c r="I14" t="str">
        <v>13 Natural and applied sciences and related occupations ($45.44)</v>
      </c>
      <c r="J14">
        <v>45.440614406779666</v>
      </c>
      <c r="R14" s="44" t="str">
        <f>"As per the Red Tape Reduction Regulations, the assessment of administrative impacts was conducted for a period of ten years commencing from registration. All values listed in this section are presented in 2012 dollars, discounted to 2012 at a rate of 7%."</f>
        <v>As per the Red Tape Reduction Regulations, the assessment of administrative impacts was conducted for a period of ten years commencing from registration. All values listed in this section are presented in 2012 dollars, discounted to 2012 at a rate of 7%.</v>
      </c>
      <c r="S14" s="12"/>
      <c r="BI14" s="7"/>
    </row>
    <row r="15" spans="2:110" x14ac:dyDescent="0.3">
      <c r="D15">
        <v>23</v>
      </c>
      <c r="E15">
        <v>2025</v>
      </c>
      <c r="F15">
        <v>2011</v>
      </c>
      <c r="I15" t="str">
        <v>14 Professional occupations in natural and applied sciences ($49.82)</v>
      </c>
      <c r="J15">
        <v>49.815367231638426</v>
      </c>
    </row>
    <row r="16" spans="2:110" x14ac:dyDescent="0.3">
      <c r="D16">
        <v>24</v>
      </c>
      <c r="E16">
        <v>2026</v>
      </c>
      <c r="F16">
        <v>2010</v>
      </c>
      <c r="I16" t="str">
        <v>15 Technical occupations related to natural and applied sciences ($37.82)</v>
      </c>
      <c r="J16">
        <v>37.816045197740117</v>
      </c>
      <c r="R16" t="s">
        <v>295</v>
      </c>
    </row>
    <row r="17" spans="4:21" x14ac:dyDescent="0.3">
      <c r="D17">
        <v>25</v>
      </c>
      <c r="E17">
        <v>2027</v>
      </c>
      <c r="F17">
        <v>2009</v>
      </c>
      <c r="I17" t="str">
        <v>16 Health occupations ($36.19)</v>
      </c>
      <c r="J17">
        <v>36.191137005649722</v>
      </c>
      <c r="R17" t="s">
        <v>296</v>
      </c>
    </row>
    <row r="18" spans="4:21" x14ac:dyDescent="0.3">
      <c r="D18">
        <v>26</v>
      </c>
      <c r="E18">
        <v>2028</v>
      </c>
      <c r="F18">
        <v>2008</v>
      </c>
      <c r="I18" t="str">
        <v>17 Professional occupations in nursing ($44.99)</v>
      </c>
      <c r="J18">
        <v>44.986094632768371</v>
      </c>
    </row>
    <row r="19" spans="4:21" x14ac:dyDescent="0.3">
      <c r="D19">
        <v>27</v>
      </c>
      <c r="E19">
        <v>2029</v>
      </c>
      <c r="F19">
        <v>2007</v>
      </c>
      <c r="I19" t="str">
        <v>18 Professional occupations in health (except nursing) ($47.28)</v>
      </c>
      <c r="J19">
        <v>47.281419491525426</v>
      </c>
    </row>
    <row r="20" spans="4:21" x14ac:dyDescent="0.3">
      <c r="D20">
        <v>28</v>
      </c>
      <c r="E20">
        <v>2030</v>
      </c>
      <c r="F20">
        <v>2006</v>
      </c>
      <c r="I20" t="str">
        <v>19 Technical occupations in health ($33.85)</v>
      </c>
      <c r="J20">
        <v>33.85036016949153</v>
      </c>
    </row>
    <row r="21" spans="4:21" x14ac:dyDescent="0.3">
      <c r="D21">
        <v>29</v>
      </c>
      <c r="E21">
        <v>2031</v>
      </c>
      <c r="F21">
        <v>2005</v>
      </c>
      <c r="I21" t="str">
        <v>20 Assisting occupations in support of health services ($25.18)</v>
      </c>
      <c r="J21">
        <v>25.180395480225993</v>
      </c>
      <c r="Q21" t="s">
        <v>297</v>
      </c>
      <c r="R21" t="s">
        <v>298</v>
      </c>
      <c r="U21" t="str">
        <f>_xlfn.XLOOKUP('Initiative Details'!$D$6,Controls!$P$22:$P$26,Controls!$U$22:$U$26,0,0,1)</f>
        <v xml:space="preserve">The amendments related to </v>
      </c>
    </row>
    <row r="22" spans="4:21" x14ac:dyDescent="0.3">
      <c r="D22">
        <v>30</v>
      </c>
      <c r="E22">
        <v>2032</v>
      </c>
      <c r="F22">
        <v>2004</v>
      </c>
      <c r="I22" t="str">
        <v>21 Occupations in education, law and social, community and government services ($40.18)</v>
      </c>
      <c r="J22">
        <v>40.179548022598873</v>
      </c>
      <c r="P22" t="s">
        <v>97</v>
      </c>
      <c r="Q22">
        <v>0</v>
      </c>
      <c r="R22">
        <v>0</v>
      </c>
      <c r="S22" t="s">
        <v>299</v>
      </c>
      <c r="U22" t="str">
        <f>"The amendments related to "</f>
        <v xml:space="preserve">The amendments related to </v>
      </c>
    </row>
    <row r="23" spans="4:21" x14ac:dyDescent="0.3">
      <c r="D23">
        <v>31</v>
      </c>
      <c r="E23">
        <v>2033</v>
      </c>
      <c r="F23">
        <v>2003</v>
      </c>
      <c r="I23" t="str">
        <v>22 Professional occupations in education services ($45.42)</v>
      </c>
      <c r="J23">
        <v>45.417888418079094</v>
      </c>
      <c r="P23" t="s">
        <v>300</v>
      </c>
      <c r="Q23">
        <v>0</v>
      </c>
      <c r="R23">
        <v>1</v>
      </c>
      <c r="S23" t="s">
        <v>301</v>
      </c>
      <c r="U23" t="str">
        <f>"The new administrative requirements related to "</f>
        <v xml:space="preserve">The new administrative requirements related to </v>
      </c>
    </row>
    <row r="24" spans="4:21" x14ac:dyDescent="0.3">
      <c r="D24">
        <v>32</v>
      </c>
      <c r="E24">
        <v>2034</v>
      </c>
      <c r="F24">
        <v>2002</v>
      </c>
      <c r="I24" t="str">
        <v>23 Professional occupations in law and social, community and government services ($45.49)</v>
      </c>
      <c r="J24">
        <v>45.486066384180795</v>
      </c>
      <c r="P24" t="s">
        <v>302</v>
      </c>
      <c r="Q24">
        <v>1</v>
      </c>
      <c r="R24">
        <v>0</v>
      </c>
      <c r="S24" t="s">
        <v>303</v>
      </c>
      <c r="U24" t="str">
        <f>" The repeal of administrative requirements related to "</f>
        <v xml:space="preserve"> The repeal of administrative requirements related to </v>
      </c>
    </row>
    <row r="25" spans="4:21" x14ac:dyDescent="0.3">
      <c r="D25">
        <v>33</v>
      </c>
      <c r="E25">
        <v>2035</v>
      </c>
      <c r="I25" t="str">
        <v>24 Paraprofessional occupations in legal, social, community and education services ($27.16)</v>
      </c>
      <c r="J25">
        <v>27.15755649717514</v>
      </c>
      <c r="P25" t="s">
        <v>304</v>
      </c>
      <c r="Q25">
        <v>1</v>
      </c>
      <c r="R25">
        <v>1</v>
      </c>
      <c r="S25" t="s">
        <v>305</v>
      </c>
      <c r="U25" t="str">
        <f>"The administrative requirements related to "</f>
        <v xml:space="preserve">The administrative requirements related to </v>
      </c>
    </row>
    <row r="26" spans="4:21" x14ac:dyDescent="0.3">
      <c r="D26">
        <v>34</v>
      </c>
      <c r="E26">
        <v>2036</v>
      </c>
      <c r="I26" t="str">
        <v>25 Occupations in front-line public protection services ($50.39)</v>
      </c>
      <c r="J26">
        <v>50.394879943502836</v>
      </c>
      <c r="P26" t="s">
        <v>306</v>
      </c>
      <c r="Q26" t="s">
        <v>307</v>
      </c>
      <c r="R26">
        <v>1</v>
      </c>
      <c r="S26" t="str">
        <f>_xlfn.CONCAT("the proposal repeals ", _xlfn.XLOOKUP('Initiative Details'!$D$9,$P$34:$P$43,Q34:Q43,'Initiative Details'!$D$9,0,1), " existing regulatory titles and adds ", _xlfn.XLOOKUP('Initiative Details'!$D$10,$P$34:$P$43,Q34:Q43,'Initiative Details'!$D$10,0,1), " new regulatory title; as a result, a net of ",_xlfn.XLOOKUP(ABS('Initiative Details'!$D$9 -'Initiative Details'!$D$10),$P$34:$P$43,Q34:Q43,ABS('Initiative Details'!$D$9 -'Initiative Details'!$D$10),0,1)," titles ", IF('Initiative Details'!$D$9 -'Initiative Details'!$D$10&lt;0,"in","out"), " is counted under the rule. ")</f>
        <v xml:space="preserve">the proposal repeals 0 existing regulatory titles and adds 0 new regulatory title; as a result, a net of 0 titles out is counted under the rule. </v>
      </c>
      <c r="U26" t="str">
        <f>"The administrative requirements related to "</f>
        <v xml:space="preserve">The administrative requirements related to </v>
      </c>
    </row>
    <row r="27" spans="4:21" x14ac:dyDescent="0.3">
      <c r="D27">
        <v>35</v>
      </c>
      <c r="E27">
        <v>2037</v>
      </c>
      <c r="I27" t="str">
        <v>26 Care providers and educational, legal and public protection support occupations ($27.11)</v>
      </c>
      <c r="J27">
        <v>27.112104519774014</v>
      </c>
    </row>
    <row r="28" spans="4:21" x14ac:dyDescent="0.3">
      <c r="D28">
        <v>36</v>
      </c>
      <c r="E28">
        <v>2038</v>
      </c>
      <c r="I28" t="str">
        <v>27 Occupations in art, culture, recreation and sport ($32.25)</v>
      </c>
      <c r="J28">
        <v>32.248177966101693</v>
      </c>
    </row>
    <row r="29" spans="4:21" x14ac:dyDescent="0.3">
      <c r="D29">
        <v>37</v>
      </c>
      <c r="E29">
        <v>2039</v>
      </c>
      <c r="I29" t="str">
        <v>28 Professional occupations in art and culture ($37.27)</v>
      </c>
      <c r="J29">
        <v>37.270621468926549</v>
      </c>
    </row>
    <row r="30" spans="4:21" x14ac:dyDescent="0.3">
      <c r="D30">
        <v>38</v>
      </c>
      <c r="E30">
        <v>2040</v>
      </c>
      <c r="I30" t="str">
        <v>29 Technical occupations in art, culture, recreation and sport ($30.20)</v>
      </c>
      <c r="J30">
        <v>30.202838983050846</v>
      </c>
    </row>
    <row r="31" spans="4:21" x14ac:dyDescent="0.3">
      <c r="D31">
        <v>39</v>
      </c>
      <c r="E31">
        <v>2041</v>
      </c>
      <c r="I31" t="str">
        <v>30 Sales and service occupations ($22.21)</v>
      </c>
      <c r="J31">
        <v>22.214653954802262</v>
      </c>
    </row>
    <row r="32" spans="4:21" x14ac:dyDescent="0.3">
      <c r="D32">
        <v>40</v>
      </c>
      <c r="E32">
        <v>2042</v>
      </c>
      <c r="I32" t="str">
        <v>31 Retail sales supervisors and specialized sales occupations ($28.96)</v>
      </c>
      <c r="J32">
        <v>28.964272598870053</v>
      </c>
    </row>
    <row r="33" spans="4:21" x14ac:dyDescent="0.3">
      <c r="D33">
        <v>41</v>
      </c>
      <c r="E33">
        <v>2043</v>
      </c>
      <c r="I33" t="str">
        <v>32 Service supervisors and specialized service occupations ($22.54)</v>
      </c>
      <c r="J33">
        <v>22.544180790960453</v>
      </c>
      <c r="P33" t="s">
        <v>308</v>
      </c>
      <c r="Q33" t="s">
        <v>309</v>
      </c>
    </row>
    <row r="34" spans="4:21" x14ac:dyDescent="0.3">
      <c r="D34">
        <v>42</v>
      </c>
      <c r="E34">
        <v>2044</v>
      </c>
      <c r="I34" t="str">
        <v>33 Sales representatives and salespersons - wholesale and retail trade ($23.23)</v>
      </c>
      <c r="J34">
        <v>23.225960451977404</v>
      </c>
      <c r="P34">
        <v>1</v>
      </c>
      <c r="Q34" t="s">
        <v>310</v>
      </c>
    </row>
    <row r="35" spans="4:21" x14ac:dyDescent="0.3">
      <c r="D35">
        <v>43</v>
      </c>
      <c r="E35">
        <v>2045</v>
      </c>
      <c r="I35" t="str">
        <v>34 Service representatives and other customer and personal services occupations ($22.35)</v>
      </c>
      <c r="J35">
        <v>22.351009887005652</v>
      </c>
      <c r="P35">
        <v>2</v>
      </c>
      <c r="Q35" t="s">
        <v>311</v>
      </c>
    </row>
    <row r="36" spans="4:21" x14ac:dyDescent="0.3">
      <c r="D36">
        <v>44</v>
      </c>
      <c r="E36">
        <v>2046</v>
      </c>
      <c r="I36" t="str">
        <v>35 Sales support occupations ($17.56)</v>
      </c>
      <c r="J36">
        <v>17.555826271186444</v>
      </c>
      <c r="P36">
        <v>3</v>
      </c>
      <c r="Q36" t="s">
        <v>312</v>
      </c>
      <c r="S36" s="6"/>
    </row>
    <row r="37" spans="4:21" x14ac:dyDescent="0.3">
      <c r="D37">
        <v>45</v>
      </c>
      <c r="E37">
        <v>2047</v>
      </c>
      <c r="I37" t="str">
        <v>36 Service support and other service occupations, n.e.c. ($19.93)</v>
      </c>
      <c r="J37">
        <v>19.930692090395482</v>
      </c>
      <c r="P37">
        <v>4</v>
      </c>
      <c r="Q37" t="s">
        <v>313</v>
      </c>
    </row>
    <row r="38" spans="4:21" x14ac:dyDescent="0.3">
      <c r="D38">
        <v>46</v>
      </c>
      <c r="E38">
        <v>2048</v>
      </c>
      <c r="I38" t="str">
        <v>37 Trades, transport and equipment operators and related occupations ($32.58)</v>
      </c>
      <c r="J38">
        <v>32.577704802259895</v>
      </c>
      <c r="P38">
        <v>5</v>
      </c>
      <c r="Q38" t="s">
        <v>314</v>
      </c>
    </row>
    <row r="39" spans="4:21" x14ac:dyDescent="0.3">
      <c r="D39">
        <v>47</v>
      </c>
      <c r="E39">
        <v>2049</v>
      </c>
      <c r="I39" t="str">
        <v>38 Industrial, electrical and construction trades ($36.44)</v>
      </c>
      <c r="J39">
        <v>36.441122881355938</v>
      </c>
      <c r="P39">
        <v>6</v>
      </c>
      <c r="Q39" t="s">
        <v>315</v>
      </c>
    </row>
    <row r="40" spans="4:21" x14ac:dyDescent="0.3">
      <c r="D40">
        <v>48</v>
      </c>
      <c r="E40">
        <v>2050</v>
      </c>
      <c r="I40" t="str">
        <v>39 Maintenance and equipment operation trades ($36.99)</v>
      </c>
      <c r="J40">
        <v>36.986546610169491</v>
      </c>
      <c r="P40">
        <v>7</v>
      </c>
      <c r="Q40" t="s">
        <v>316</v>
      </c>
    </row>
    <row r="41" spans="4:21" x14ac:dyDescent="0.3">
      <c r="D41">
        <v>49</v>
      </c>
      <c r="I41" t="str">
        <v>40 Other installers, repairers and servicers and material handlers ($25.15)</v>
      </c>
      <c r="J41">
        <v>25.146306497175143</v>
      </c>
      <c r="P41">
        <v>8</v>
      </c>
      <c r="Q41" t="s">
        <v>317</v>
      </c>
    </row>
    <row r="42" spans="4:21" x14ac:dyDescent="0.3">
      <c r="D42">
        <v>50</v>
      </c>
      <c r="I42" t="str">
        <v>41 Transport and heavy equipment operation and related maintenance occupations ($28.35)</v>
      </c>
      <c r="J42">
        <v>28.350670903954803</v>
      </c>
      <c r="P42">
        <v>9</v>
      </c>
      <c r="Q42" t="s">
        <v>318</v>
      </c>
      <c r="T42" s="17"/>
      <c r="U42" s="7"/>
    </row>
    <row r="43" spans="4:21" x14ac:dyDescent="0.3">
      <c r="D43">
        <v>51</v>
      </c>
      <c r="I43" t="str">
        <v>42 Trades helpers, construction labourers and related occupations ($27.37)</v>
      </c>
      <c r="J43">
        <v>27.373453389830509</v>
      </c>
      <c r="P43">
        <v>10</v>
      </c>
      <c r="Q43" t="s">
        <v>319</v>
      </c>
      <c r="T43" s="7"/>
      <c r="U43" s="18"/>
    </row>
    <row r="44" spans="4:21" x14ac:dyDescent="0.3">
      <c r="D44">
        <v>52</v>
      </c>
      <c r="I44" t="str">
        <v>43 Natural resources, agriculture and related production occupations ($29.52)</v>
      </c>
      <c r="J44">
        <v>29.521059322033899</v>
      </c>
      <c r="P44">
        <v>20</v>
      </c>
      <c r="Q44" t="s">
        <v>320</v>
      </c>
    </row>
    <row r="45" spans="4:21" x14ac:dyDescent="0.3">
      <c r="D45">
        <v>53</v>
      </c>
      <c r="I45" t="str">
        <v>44 Supervisors and technical occupations in natural resources, agriculture and related production ($40.13)</v>
      </c>
      <c r="J45">
        <v>40.134096045197744</v>
      </c>
      <c r="P45">
        <v>30</v>
      </c>
      <c r="Q45" t="s">
        <v>321</v>
      </c>
    </row>
    <row r="46" spans="4:21" x14ac:dyDescent="0.3">
      <c r="D46">
        <v>54</v>
      </c>
      <c r="I46" t="str">
        <v>45 Workers in natural resources, agriculture and related production ($23.85)</v>
      </c>
      <c r="J46">
        <v>23.850925141242936</v>
      </c>
      <c r="P46">
        <v>40</v>
      </c>
      <c r="Q46" t="s">
        <v>322</v>
      </c>
    </row>
    <row r="47" spans="4:21" x14ac:dyDescent="0.3">
      <c r="D47">
        <v>55</v>
      </c>
      <c r="I47" t="str">
        <v>46 Harvesting, landscaping and natural resources labourers ($24.04)</v>
      </c>
      <c r="J47">
        <v>24.044096045197744</v>
      </c>
      <c r="P47">
        <v>50</v>
      </c>
      <c r="Q47" t="s">
        <v>323</v>
      </c>
    </row>
    <row r="48" spans="4:21" x14ac:dyDescent="0.3">
      <c r="D48">
        <v>56</v>
      </c>
      <c r="I48" t="str">
        <v>47 Occupations in manufacturing and utilities ($28.24)</v>
      </c>
      <c r="J48">
        <v>28.237040960451981</v>
      </c>
      <c r="P48">
        <v>100</v>
      </c>
      <c r="Q48" t="s">
        <v>324</v>
      </c>
    </row>
    <row r="49" spans="4:19" x14ac:dyDescent="0.3">
      <c r="D49">
        <v>57</v>
      </c>
      <c r="I49" t="str">
        <v>48 Processing, manufacturing and utilities supervisors and central control operators ($39.83)</v>
      </c>
      <c r="J49">
        <v>39.827295197740114</v>
      </c>
    </row>
    <row r="50" spans="4:19" x14ac:dyDescent="0.3">
      <c r="D50">
        <v>58</v>
      </c>
      <c r="I50" t="str">
        <v>49 Processing and manufacturing machine operators and related production workers ($25.42)</v>
      </c>
      <c r="J50">
        <v>25.419018361581923</v>
      </c>
    </row>
    <row r="51" spans="4:19" x14ac:dyDescent="0.3">
      <c r="D51">
        <v>59</v>
      </c>
      <c r="I51" t="str">
        <v>50 Assemblers in manufacturing ($26.07)</v>
      </c>
      <c r="J51">
        <v>26.066709039548027</v>
      </c>
    </row>
    <row r="52" spans="4:19" x14ac:dyDescent="0.3">
      <c r="D52">
        <v>60</v>
      </c>
      <c r="I52" t="str">
        <v>51 Labourers in processing, manufacturing and utilities ($22.28)</v>
      </c>
      <c r="J52">
        <v>22.282831920903956</v>
      </c>
    </row>
    <row r="53" spans="4:19" x14ac:dyDescent="0.3">
      <c r="D53">
        <v>61</v>
      </c>
      <c r="I53" t="str">
        <v>52 Custom Wage #1 (custom wage not added yet)</v>
      </c>
      <c r="J53" t="str">
        <v/>
      </c>
    </row>
    <row r="54" spans="4:19" x14ac:dyDescent="0.3">
      <c r="D54">
        <v>62</v>
      </c>
      <c r="R54" s="43"/>
    </row>
    <row r="55" spans="4:19" x14ac:dyDescent="0.3">
      <c r="D55">
        <v>63</v>
      </c>
    </row>
    <row r="56" spans="4:19" x14ac:dyDescent="0.3">
      <c r="D56">
        <v>64</v>
      </c>
    </row>
    <row r="57" spans="4:19" x14ac:dyDescent="0.3">
      <c r="D57">
        <v>65</v>
      </c>
    </row>
    <row r="58" spans="4:19" x14ac:dyDescent="0.3">
      <c r="D58">
        <v>66</v>
      </c>
      <c r="P58" s="7"/>
      <c r="R58" s="16"/>
      <c r="S58" s="40"/>
    </row>
    <row r="59" spans="4:19" x14ac:dyDescent="0.3">
      <c r="D59">
        <v>67</v>
      </c>
      <c r="S59" s="40"/>
    </row>
    <row r="60" spans="4:19" x14ac:dyDescent="0.3">
      <c r="D60">
        <v>68</v>
      </c>
      <c r="S60" s="40"/>
    </row>
    <row r="61" spans="4:19" x14ac:dyDescent="0.3">
      <c r="D61">
        <v>69</v>
      </c>
    </row>
    <row r="62" spans="4:19" x14ac:dyDescent="0.3">
      <c r="D62">
        <v>70</v>
      </c>
    </row>
    <row r="63" spans="4:19" x14ac:dyDescent="0.3">
      <c r="D63">
        <v>71</v>
      </c>
    </row>
    <row r="64" spans="4:19" x14ac:dyDescent="0.3">
      <c r="D64">
        <v>72</v>
      </c>
      <c r="Q64" s="16"/>
      <c r="R64" s="6"/>
    </row>
    <row r="65" spans="4:4" x14ac:dyDescent="0.3">
      <c r="D65">
        <v>73</v>
      </c>
    </row>
    <row r="66" spans="4:4" x14ac:dyDescent="0.3">
      <c r="D66">
        <v>74</v>
      </c>
    </row>
    <row r="67" spans="4:4" x14ac:dyDescent="0.3">
      <c r="D67">
        <v>75</v>
      </c>
    </row>
    <row r="68" spans="4:4" x14ac:dyDescent="0.3">
      <c r="D68">
        <v>76</v>
      </c>
    </row>
    <row r="69" spans="4:4" x14ac:dyDescent="0.3">
      <c r="D69">
        <v>77</v>
      </c>
    </row>
    <row r="70" spans="4:4" x14ac:dyDescent="0.3">
      <c r="D70">
        <v>78</v>
      </c>
    </row>
    <row r="71" spans="4:4" x14ac:dyDescent="0.3">
      <c r="D71">
        <v>79</v>
      </c>
    </row>
    <row r="72" spans="4:4" x14ac:dyDescent="0.3">
      <c r="D72">
        <v>80</v>
      </c>
    </row>
    <row r="73" spans="4:4" x14ac:dyDescent="0.3">
      <c r="D73">
        <v>81</v>
      </c>
    </row>
    <row r="74" spans="4:4" x14ac:dyDescent="0.3">
      <c r="D74">
        <v>82</v>
      </c>
    </row>
    <row r="75" spans="4:4" x14ac:dyDescent="0.3">
      <c r="D75">
        <v>83</v>
      </c>
    </row>
    <row r="76" spans="4:4" x14ac:dyDescent="0.3">
      <c r="D76">
        <v>84</v>
      </c>
    </row>
    <row r="77" spans="4:4" x14ac:dyDescent="0.3">
      <c r="D77">
        <v>85</v>
      </c>
    </row>
    <row r="78" spans="4:4" x14ac:dyDescent="0.3">
      <c r="D78">
        <v>86</v>
      </c>
    </row>
    <row r="79" spans="4:4" x14ac:dyDescent="0.3">
      <c r="D79">
        <v>87</v>
      </c>
    </row>
    <row r="80" spans="4:4" x14ac:dyDescent="0.3">
      <c r="D80">
        <v>88</v>
      </c>
    </row>
    <row r="81" spans="4:4" x14ac:dyDescent="0.3">
      <c r="D81">
        <v>89</v>
      </c>
    </row>
    <row r="82" spans="4:4" x14ac:dyDescent="0.3">
      <c r="D82">
        <v>90</v>
      </c>
    </row>
    <row r="83" spans="4:4" x14ac:dyDescent="0.3">
      <c r="D83">
        <v>91</v>
      </c>
    </row>
    <row r="84" spans="4:4" x14ac:dyDescent="0.3">
      <c r="D84">
        <v>92</v>
      </c>
    </row>
    <row r="85" spans="4:4" x14ac:dyDescent="0.3">
      <c r="D85">
        <v>93</v>
      </c>
    </row>
    <row r="86" spans="4:4" x14ac:dyDescent="0.3">
      <c r="D86">
        <v>94</v>
      </c>
    </row>
    <row r="87" spans="4:4" x14ac:dyDescent="0.3">
      <c r="D87">
        <v>95</v>
      </c>
    </row>
    <row r="88" spans="4:4" x14ac:dyDescent="0.3">
      <c r="D88">
        <v>96</v>
      </c>
    </row>
    <row r="89" spans="4:4" x14ac:dyDescent="0.3">
      <c r="D89">
        <v>97</v>
      </c>
    </row>
    <row r="90" spans="4:4" x14ac:dyDescent="0.3">
      <c r="D90">
        <v>98</v>
      </c>
    </row>
    <row r="91" spans="4:4" x14ac:dyDescent="0.3">
      <c r="D91">
        <v>99</v>
      </c>
    </row>
    <row r="92" spans="4:4" x14ac:dyDescent="0.3">
      <c r="D92">
        <v>100</v>
      </c>
    </row>
  </sheetData>
  <dataValidations disablePrompts="1" count="5">
    <dataValidation type="list" allowBlank="1" showInputMessage="1" showErrorMessage="1" sqref="H2" xr:uid="{3773CA78-172A-4EB1-B7EB-1325FCACBFA7}">
      <formula1>"0, 2"</formula1>
    </dataValidation>
    <dataValidation allowBlank="1" showInputMessage="1" showErrorMessage="1" prompt="This is the exponent for discounting. It updates based on the period, frequency, and activity start. " sqref="DA1" xr:uid="{18B2529D-88A0-4970-8D3A-983321221050}"/>
    <dataValidation allowBlank="1" showInputMessage="1" showErrorMessage="1" prompt="This is needed to calculate the number of affected stakeholders at the time that the activity comes into force (called P0). " sqref="CZ1" xr:uid="{434F85C4-CCB6-466F-8D8B-D20434D8D1DE}"/>
    <dataValidation allowBlank="1" showInputMessage="1" showErrorMessage="1" prompt="This is used to calculate the growing stakeholder counts depending on the period and the start of the activity." sqref="CY1" xr:uid="{C2FB5416-7BCA-4900-A296-33553C6F818D}"/>
    <dataValidation allowBlank="1" showInputMessage="1" showErrorMessage="1" prompt="1: Ongoing, applies to everyone_x000a_2: Ongoing, applies to existing stakeholders only_x000a_3: Ongoing, applies to new entrants only_x000a_4: Upfront, applies to everyone_x000a_5: Upfront, applies to existing stakeholders only_x000a_6: Upfront, applies to new entrants only" sqref="CX1" xr:uid="{4E5DD8D4-1921-4D7C-85BD-2659FDE06332}"/>
  </dataValidations>
  <pageMargins left="0.7" right="0.7" top="0.75" bottom="0.75" header="0.3" footer="0.3"/>
  <pageSetup orientation="portrait" horizontalDpi="90" verticalDpi="90" r:id="rId1"/>
  <headerFooter>
    <oddHeader>&amp;R&amp;"Calibri"&amp;12&amp;K000000 PROTECTED B - PROTÉGÉ B&amp;1#_x000D_</oddHeader>
  </headerFooter>
  <ignoredErrors>
    <ignoredError sqref="O3" calculatedColumn="1"/>
  </ignoredErrors>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abf2189-68c2-4ddb-adff-1183eca9c339" xsi:nil="true"/>
    <lcf76f155ced4ddcb4097134ff3c332f xmlns="4e83f676-8cd4-4cac-9a4e-1c9624eae427">
      <Terms xmlns="http://schemas.microsoft.com/office/infopath/2007/PartnerControls"/>
    </lcf76f155ced4ddcb4097134ff3c332f>
  </documentManagement>
</p:properties>
</file>

<file path=customXml/item2.xml><?xml version="1.0" encoding="utf-8"?>
<scriptIds xmlns="http://schemas.microsoft.com/office/extensibility/maker/v1.0" id="script-ids-node-id">
  <scriptId id="ms-officescript%3A%2F%2Fonedrive_business_itemlink%2F01WMZAT7GUPQNBZRRPLVB3OLKUDC6ZUXX2:ms-officescript%3A%2F%2Fonedrive_business_sharinglink%2Fu!aHR0cHM6Ly8wMTRnYy1teS5zaGFyZXBvaW50LmNvbS86dTovZy9wZXJzb25hbC9hbmRyZXdfcmVpZF9sYWJvdXItdHJhdmFpbF9nY19jYTEvRWRSOEdoekdMMTFEdHkxVUdMMmFYdm9CQjdicnRZOFZJS0IwTEs3VG5BMldfdw"/>
  <scriptId xmlns="" id="ms-officescript%3A%2F%2Fonedrive_business_itemlink%2F01WMZAT7HHBMH3VBFI6NA3DRDH7ON5RDJS:ms-officescript%3A%2F%2Fonedrive_business_sharinglink%2Fu!aHR0cHM6Ly8wMTRnYy1teS5zaGFyZXBvaW50LmNvbS86dTovZy9wZXJzb25hbC9hbmRyZXdfcmVpZF9sYWJvdXItdHJhdmFpbF9nY19jYTEvRWVjTEQ3cUVxUE5Cc2NSbi01dllqVElCLUhFZldaQTZzWUpFUzJWVFBYMXM2UQ"/>
  <scriptId xmlns="" id="ms-officescript%3A%2F%2Fonedrive_business_itemlink%2F01WMZAT7CJUAOZNBQKMVGKYPAKL4YIKZXV:ms-officescript%3A%2F%2Fonedrive_business_sharinglink%2Fu!aHR0cHM6Ly8wMTRnYy1teS5zaGFyZXBvaW50LmNvbS86dTovZy9wZXJzb25hbC9hbmRyZXdfcmVpZF9sYWJvdXItdHJhdmFpbF9nY19jYTEvRVVtZ0haYUdDbVZNckR3S1h6Q0ZadlVCOGM3aDhTRkJzZDcwdGJydGphdzAwdw"/>
  <scriptId xmlns="" id="ms-officescript%3A%2F%2Fonedrive_business_itemlink%2F01WMZAT7D5ZFGXEE2DK5CJCDB5GEM7DUKE:ms-officescript%3A%2F%2Fonedrive_business_sharinglink%2Fu!aHR0cHM6Ly8wMTRnYy1teS5zaGFyZXBvaW50LmNvbS86dTovZy9wZXJzb25hbC9hbmRyZXdfcmVpZF9sYWJvdXItdHJhdmFpbF9nY19jYTEvRVgzSlRYSVRRMWRFa1F3OU1SbngwVVFCdFpONFBLWE1WY1B1d01UNWtXeGZ2QQ"/>
  <scriptId xmlns="" id="ms-officescript%3A%2F%2Fonedrive_business_itemlink%2F01WMZAT7EBX6B66RDLRVE35W63YGUZXBBI:ms-officescript%3A%2F%2Fonedrive_business_sharinglink%2Fu!aHR0cHM6Ly8wMTRnYy1teS5zaGFyZXBvaW50LmNvbS86dTovZy9wZXJzb25hbC9hbmRyZXdfcmVpZF9sYWJvdXItdHJhdmFpbF9nY19jYTEvRVlHX2ctOUVhNDFKdnR2YndhbWJoQ2dCc2pBUVJnWXVyTWc3em5TMFRDSXJ4Zw"/>
  <scriptId xmlns="" id="ms-officescript%3A%2F%2Fonedrive_business_itemlink%2F01WMZAT7FNXS3M3KF4N5B2W4FBPSZXPYBF:ms-officescript%3A%2F%2Fonedrive_business_sharinglink%2Fu!aHR0cHM6Ly8wMTRnYy1teS5zaGFyZXBvaW50LmNvbS86dTovZy9wZXJzb25hbC9hbmRyZXdfcmVpZF9sYWJvdXItdHJhdmFpbF9nY19jYTEvRWEyOHRzMm92RzlEcTNDaGZMTjM0Q1VCWUFxZDJQUW9BYUpMdDcyVVFKczB0Zw"/>
  <scriptId xmlns="" id="ms-officescript%3A%2F%2Fonedrive_business_itemlink%2F01WMZAT7GKZIYMB3NI2NEY4YCQEXSHTRXL:ms-officescript%3A%2F%2Fonedrive_business_sharinglink%2Fu!aHR0cHM6Ly8wMTRnYy1teS5zaGFyZXBvaW50LmNvbS86dTovZy9wZXJzb25hbC9hbmRyZXdfcmVpZF9sYWJvdXItdHJhdmFpbF9nY19jYTEvRWNyS01NRHRxTk5Kam1CUUplUjV4dXNCUks3enNGaEgzalJ5WFROTkF6VEladw"/>
</scriptIds>
</file>

<file path=customXml/item3.xml>��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ct:contentTypeSchema xmlns:ct="http://schemas.microsoft.com/office/2006/metadata/contentType" xmlns:ma="http://schemas.microsoft.com/office/2006/metadata/properties/metaAttributes" ct:_="" ma:_="" ma:contentTypeName="Document" ma:contentTypeID="0x01010065AD427A6A4EA84EAE9C0A2EB013E751" ma:contentTypeVersion="16" ma:contentTypeDescription="Create a new document." ma:contentTypeScope="" ma:versionID="1cf1093b6e95b27effd58c33d657053e">
  <xsd:schema xmlns:xsd="http://www.w3.org/2001/XMLSchema" xmlns:xs="http://www.w3.org/2001/XMLSchema" xmlns:p="http://schemas.microsoft.com/office/2006/metadata/properties" xmlns:ns2="4e83f676-8cd4-4cac-9a4e-1c9624eae427" xmlns:ns3="2abf2189-68c2-4ddb-adff-1183eca9c339" targetNamespace="http://schemas.microsoft.com/office/2006/metadata/properties" ma:root="true" ma:fieldsID="9a5f54b11784ca58ce1d0b8490228745" ns2:_="" ns3:_="">
    <xsd:import namespace="4e83f676-8cd4-4cac-9a4e-1c9624eae427"/>
    <xsd:import namespace="2abf2189-68c2-4ddb-adff-1183eca9c33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AutoTags"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83f676-8cd4-4cac-9a4e-1c9624eae42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6bf3204f-aabd-4e28-9088-5d29a8bcebff"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abf2189-68c2-4ddb-adff-1183eca9c33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e984a7fe-7b14-42dc-aadd-a61c65704e8e}" ma:internalName="TaxCatchAll" ma:showField="CatchAllData" ma:web="2abf2189-68c2-4ddb-adff-1183eca9c33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95EDFCC-17C6-45ED-BE18-15C465AE308F}">
  <ds:schemaRefs>
    <ds:schemaRef ds:uri="http://schemas.microsoft.com/office/2006/metadata/properties"/>
    <ds:schemaRef ds:uri="http://schemas.microsoft.com/office/infopath/2007/PartnerControls"/>
    <ds:schemaRef ds:uri="2abf2189-68c2-4ddb-adff-1183eca9c339"/>
    <ds:schemaRef ds:uri="4e83f676-8cd4-4cac-9a4e-1c9624eae427"/>
  </ds:schemaRefs>
</ds:datastoreItem>
</file>

<file path=customXml/itemProps2.xml><?xml version="1.0" encoding="utf-8"?>
<ds:datastoreItem xmlns:ds="http://schemas.openxmlformats.org/officeDocument/2006/customXml" ds:itemID="{7FC1EC99-3BE4-476C-99BB-E843663DCA43}">
  <ds:schemaRefs>
    <ds:schemaRef ds:uri="http://schemas.microsoft.com/office/extensibility/maker/v1.0"/>
    <ds:schemaRef ds:uri=""/>
  </ds:schemaRefs>
</ds:datastoreItem>
</file>

<file path=customXml/itemProps3.xml><?xml version="1.0" encoding="utf-8"?>
<ds:datastoreItem xmlns:ds="http://schemas.openxmlformats.org/officeDocument/2006/customXml" ds:itemID="{AAF567B0-53AE-4976-9FEF-74BC92060D80}">
  <ds:schemaRefs>
    <ds:schemaRef ds:uri="http://schemas.microsoft.com/DataMashup"/>
  </ds:schemaRefs>
</ds:datastoreItem>
</file>

<file path=customXml/itemProps4.xml><?xml version="1.0" encoding="utf-8"?>
<ds:datastoreItem xmlns:ds="http://schemas.openxmlformats.org/officeDocument/2006/customXml" ds:itemID="{61DE3F70-04F7-4834-A5AB-CF57101158CF}">
  <ds:schemaRefs>
    <ds:schemaRef ds:uri="http://schemas.microsoft.com/sharepoint/v3/contenttype/forms"/>
  </ds:schemaRefs>
</ds:datastoreItem>
</file>

<file path=customXml/itemProps5.xml><?xml version="1.0" encoding="utf-8"?>
<ds:datastoreItem xmlns:ds="http://schemas.openxmlformats.org/officeDocument/2006/customXml" ds:itemID="{4CD32C29-F255-44F0-B9AC-9CA1DD0ADE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83f676-8cd4-4cac-9a4e-1c9624eae427"/>
    <ds:schemaRef ds:uri="2abf2189-68c2-4ddb-adff-1183eca9c33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4293c96a-1e7b-4a05-a72b-7ce2064188e7}" enabled="1" method="Privileged" siteId="{05c95b33-90ca-49d5-b644-288b930b912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29</vt:i4>
      </vt:variant>
    </vt:vector>
  </HeadingPairs>
  <TitlesOfParts>
    <vt:vector size="45" baseType="lpstr">
      <vt:lpstr>Read Me</vt:lpstr>
      <vt:lpstr>Initiative Details</vt:lpstr>
      <vt:lpstr>Stakeholder Profile</vt:lpstr>
      <vt:lpstr>Activities</vt:lpstr>
      <vt:lpstr>One-for-one</vt:lpstr>
      <vt:lpstr>Small Business Lens</vt:lpstr>
      <vt:lpstr>Annual Stakeholder Count</vt:lpstr>
      <vt:lpstr>Impacts</vt:lpstr>
      <vt:lpstr>Impacts by Activity</vt:lpstr>
      <vt:lpstr>Impacts by Stakeholder</vt:lpstr>
      <vt:lpstr>Impacts by Activity+Stakeholder</vt:lpstr>
      <vt:lpstr>Cost-benefit Statement</vt:lpstr>
      <vt:lpstr>Labour</vt:lpstr>
      <vt:lpstr>CPI</vt:lpstr>
      <vt:lpstr>Full Output</vt:lpstr>
      <vt:lpstr>Controls</vt:lpstr>
      <vt:lpstr>ActivityLanding</vt:lpstr>
      <vt:lpstr>AF</vt:lpstr>
      <vt:lpstr>AF_7_10</vt:lpstr>
      <vt:lpstr>AnnualStakeholderCounts</vt:lpstr>
      <vt:lpstr>CostBenefitStatementLanding</vt:lpstr>
      <vt:lpstr>Custom_Labour</vt:lpstr>
      <vt:lpstr>Discount</vt:lpstr>
      <vt:lpstr>FormulasLanding</vt:lpstr>
      <vt:lpstr>FullOutputLanding</vt:lpstr>
      <vt:lpstr>ImpactByActivityAndStakeholderLanding</vt:lpstr>
      <vt:lpstr>ImpactsByActivityLanding</vt:lpstr>
      <vt:lpstr>ImpactsByStakeholderLanding</vt:lpstr>
      <vt:lpstr>ImpactsLanding</vt:lpstr>
      <vt:lpstr>InitiativeDetailsLanding</vt:lpstr>
      <vt:lpstr>List_Amendment_Repeal</vt:lpstr>
      <vt:lpstr>List_New_Regulation_Repeal</vt:lpstr>
      <vt:lpstr>List_Repeal_and_Replace_Repeal</vt:lpstr>
      <vt:lpstr>List_Repeal_Only</vt:lpstr>
      <vt:lpstr>OneForOneLanding</vt:lpstr>
      <vt:lpstr>OneforOneText</vt:lpstr>
      <vt:lpstr>PriceYear</vt:lpstr>
      <vt:lpstr>PVBaseYear</vt:lpstr>
      <vt:lpstr>SBLLanding</vt:lpstr>
      <vt:lpstr>StakeholderProfileLanding</vt:lpstr>
      <vt:lpstr>Tbl_NOc</vt:lpstr>
      <vt:lpstr>TenCount</vt:lpstr>
      <vt:lpstr>Time</vt:lpstr>
      <vt:lpstr>versiondate</vt:lpstr>
      <vt:lpstr>YearOfRegistration</vt:lpstr>
    </vt:vector>
  </TitlesOfParts>
  <Manager/>
  <Company>Gouvernement du Canada - Government of Canada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Reid, Andrew AR [NC]</dc:creator>
  <cp:keywords/>
  <dc:description/>
  <cp:lastModifiedBy>Reid, Andrew AR [NC]</cp:lastModifiedBy>
  <cp:revision/>
  <dcterms:created xsi:type="dcterms:W3CDTF">2024-04-02T17:30:06Z</dcterms:created>
  <dcterms:modified xsi:type="dcterms:W3CDTF">2025-03-20T20:36:05Z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515d617-256d-4284-aedb-1064be1c4b48_Enabled">
    <vt:lpwstr>true</vt:lpwstr>
  </property>
  <property fmtid="{D5CDD505-2E9C-101B-9397-08002B2CF9AE}" pid="3" name="MSIP_Label_3515d617-256d-4284-aedb-1064be1c4b48_SetDate">
    <vt:lpwstr>2024-04-18T12:52:46Z</vt:lpwstr>
  </property>
  <property fmtid="{D5CDD505-2E9C-101B-9397-08002B2CF9AE}" pid="4" name="MSIP_Label_3515d617-256d-4284-aedb-1064be1c4b48_Method">
    <vt:lpwstr>Privileged</vt:lpwstr>
  </property>
  <property fmtid="{D5CDD505-2E9C-101B-9397-08002B2CF9AE}" pid="5" name="MSIP_Label_3515d617-256d-4284-aedb-1064be1c4b48_Name">
    <vt:lpwstr>3515d617-256d-4284-aedb-1064be1c4b48</vt:lpwstr>
  </property>
  <property fmtid="{D5CDD505-2E9C-101B-9397-08002B2CF9AE}" pid="6" name="MSIP_Label_3515d617-256d-4284-aedb-1064be1c4b48_SiteId">
    <vt:lpwstr>6397df10-4595-4047-9c4f-03311282152b</vt:lpwstr>
  </property>
  <property fmtid="{D5CDD505-2E9C-101B-9397-08002B2CF9AE}" pid="7" name="MSIP_Label_3515d617-256d-4284-aedb-1064be1c4b48_ActionId">
    <vt:lpwstr>7d8dfc8c-6cfe-4b8e-8058-689c0c2fc1ac</vt:lpwstr>
  </property>
  <property fmtid="{D5CDD505-2E9C-101B-9397-08002B2CF9AE}" pid="8" name="MSIP_Label_3515d617-256d-4284-aedb-1064be1c4b48_ContentBits">
    <vt:lpwstr>0</vt:lpwstr>
  </property>
  <property fmtid="{D5CDD505-2E9C-101B-9397-08002B2CF9AE}" pid="9" name="Solution ID">
    <vt:lpwstr>None</vt:lpwstr>
  </property>
  <property fmtid="{D5CDD505-2E9C-101B-9397-08002B2CF9AE}" pid="10" name="ContentTypeId">
    <vt:lpwstr>0x01010065AD427A6A4EA84EAE9C0A2EB013E751</vt:lpwstr>
  </property>
</Properties>
</file>