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tables/table4.xml" ContentType="application/vnd.openxmlformats-officedocument.spreadsheetml.table+xml"/>
  <Override PartName="/xl/drawings/drawing14.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drawings/drawing15.xml" ContentType="application/vnd.openxmlformats-officedocument.drawing+xml"/>
  <Override PartName="/xl/drawings/drawing16.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C:\Users\andrew.reid\Documents\"/>
    </mc:Choice>
  </mc:AlternateContent>
  <xr:revisionPtr revIDLastSave="0" documentId="13_ncr:1_{C9981858-44F1-4FF2-9692-E2052A14CDEA}" xr6:coauthVersionLast="47" xr6:coauthVersionMax="47" xr10:uidLastSave="{00000000-0000-0000-0000-000000000000}"/>
  <bookViews>
    <workbookView xWindow="-120" yWindow="-120" windowWidth="29040" windowHeight="15840" tabRatio="955" xr2:uid="{B31DFA44-6D76-4043-A2DA-831727713083}"/>
  </bookViews>
  <sheets>
    <sheet name="Read Me" sheetId="51" r:id="rId1"/>
    <sheet name="Initiative Details" sheetId="1" r:id="rId2"/>
    <sheet name="Stakeholder Profile" sheetId="8" r:id="rId3"/>
    <sheet name="Activities" sheetId="6" r:id="rId4"/>
    <sheet name="One-for-one" sheetId="9" r:id="rId5"/>
    <sheet name="Small Business Lens" sheetId="19" r:id="rId6"/>
    <sheet name="Annual Stakeholder Count" sheetId="37" r:id="rId7"/>
    <sheet name="Impact" sheetId="50" r:id="rId8"/>
    <sheet name="Impact by Activity" sheetId="35" r:id="rId9"/>
    <sheet name="Impact by Stakeholder" sheetId="38" r:id="rId10"/>
    <sheet name="Impact by Activity+Stakeholder" sheetId="46" r:id="rId11"/>
    <sheet name="Cost-benefit Statement" sheetId="49" r:id="rId12"/>
    <sheet name="Labour" sheetId="18" r:id="rId13"/>
    <sheet name="CPI" sheetId="4" r:id="rId14"/>
    <sheet name="Full Output" sheetId="22" r:id="rId15"/>
    <sheet name="Controls" sheetId="10" r:id="rId16"/>
  </sheets>
  <definedNames>
    <definedName name="_xlnm._FilterDatabase" localSheetId="3" hidden="1">Activities!#REF!</definedName>
    <definedName name="_xlnm._FilterDatabase" localSheetId="14" hidden="1">'Full Output'!$B$1:$X$43</definedName>
    <definedName name="_xlnm._FilterDatabase" localSheetId="2" hidden="1">'Stakeholder Profile'!#REF!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F">Controls!$O$4</definedName>
    <definedName name="AF_7_10">Controls!$O$3</definedName>
    <definedName name="AffectedGroup">MATCH(INDEX(tbl_Activities[Affected Stakeholder Group],_xlfn.ANCHORARRAY( 'Full Output'!$A$2)), tbl_Stakeholders[Stakeholder Group], 0)</definedName>
    <definedName name="AnnualStakeholderCounts">'Annual Stakeholder Count'!$B$8</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Compliance]&lt;&gt;"")*(tbl_Activities[In or Out]&lt;&gt;"")*(tbl_Activities[Upfront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Row],[In or Out]]&lt;&gt;"")*(tbl_Activities[[#This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(Wage Without Overhead)]]&lt;&gt;""))=1, 0, 1)</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IF(SUMIFS(_xlfn.ANCHORARRAY('Full Output'!$W$2),_xlfn.ANCHORARRAY('Full Output'!$A$2),ROW(Activities!$B1)-ROW(Activities!$B$14))=0,1,0)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UpfrontFreq">IF(--(tbl_Activities[[#This Row],[Upfront or  Ongoing]]="Upfront")+--(tbl_Activities[[#This Row],[Annual Frequency]]&lt;&gt;1)=2, 1, 0)</definedName>
    <definedName name="CheckWages">IFERROR(IF(_xlfn.TEXTBEFORE(_xlfn.TEXTAFTER(tbl_Activities[[#This Row],[Labour: Staff Level (Wage Without Overhead)]], "($"), ")")=INDEX(_xlfn.TEXTBEFORE(_xlfn.TEXTAFTER(_xlfn.ANCHORARRAY(Controls!$I$2), "($"), ")"), MATCH(_xlfn.TEXTBEFORE(tbl_Activities[[#This Row],[Labour: Staff Level (Wage Without Overhead)]], " ($"), _xlfn.TEXTBEFORE(_xlfn.ANCHORARRAY(Controls!$I$2), " ($"), 0)), 0, 1), "")</definedName>
    <definedName name="CostBenefitStatementLanding">'Cost-benefit Statement'!$B$2</definedName>
    <definedName name="Custom_Labour">Labour!$A$66</definedName>
    <definedName name="Discount">'Initiative Details'!$D$15</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13" hidden="1">CPI!$C$14:$D$37</definedName>
    <definedName name="ExternalData_2" localSheetId="0" hidden="1">'Read Me'!$C$23:$C$24</definedName>
    <definedName name="FO_Act">_xlfn.ANCHORARRAY('Full Output'!$B$2)</definedName>
    <definedName name="FO_ImpactD">_xlfn.ANCHORARRAY('Full Output'!$W$2)</definedName>
    <definedName name="FO_ImpactU">_xlfn.ANCHORARRAY('Full Output'!$R$2)</definedName>
    <definedName name="FO_InOut">_xlfn.ANCHORARRAY('Full Output'!$D$2)</definedName>
    <definedName name="FO_Yrs">_xlfn.ANCHORARRAY('Full Output'!$E$2)</definedName>
    <definedName name="FormulasLanding">Controls!$BV$1</definedName>
    <definedName name="FullOutputLanding">'Full Output'!$A$1</definedName>
    <definedName name="Groups">_xlfn.UNIQUE(_xlfn._xlws.FILTER(tbl_Stakeholders[Stakeholder Group], tbl_Stakeholders[Stakeholder Group]&lt;&gt;""))</definedName>
    <definedName name="ImpactByActivityAndStakeholderLanding">'Impact by Activity+Stakeholder'!$B$2</definedName>
    <definedName name="ImpactsByActivityLanding">'Impact by Activity'!$B$21</definedName>
    <definedName name="ImpactsByStakeholderLanding">'Impact by Stakeholder'!$B$2</definedName>
    <definedName name="ImpactsLanding">Impact!$B$2</definedName>
    <definedName name="IN_AS">_xlfn.LET(_xlpm.Stakeholders, _xlfn.UNIQUE(_xlfn._xlws.FILTER(tbl_Stakeholders[Stakeholder Group], tbl_Stakeholders[Stakeholder Group]&lt;&gt;"")), _xlpm.Activities, _xlfn.UNIQUE(_xlfn._xlws.FILTER(tbl_Activities[Activity], (tbl_Activities[In or Out]="In")*Checkblank)), _xlpm.x, _xlfn.MAKEARRAY(ROWS(_xlpm.Stakeholders)*ROWS(_xlpm.Activities), 2, _xlfn.LAMBDA(_xlpm.r,_xlpm.c, _xlfn.LET( _xlpm.w, _xlpm.r/ROWS(_xlpm.Stakeholders), _xlpm.p, ROUNDUP(_xlpm.w, 0)-1, IF(_xlpm.c=2, INDEX(_xlpm.Activities, ROUNDUP(_xlpm.w, 0)), INDEX(_xlpm.Stakeholders, IF(_xlpm.r&lt;=ROWS(_xlpm.Stakeholders), _xlpm.r, _xlpm.r-ROWS(_xlpm.Stakeholders)*_xlpm.p)))) )), _xlpm.y, INDEX(tbl_Activities[Affected Stakeholder Group], MATCH(INDEX(_xlpm.x, , 2), tbl_Activities[Activity], 0)), _xlpm.z, _xlfn.HSTACK(_xlpm.x, _xlpm.y), _xlpm.a, IF(INDEX(_xlpm.z, , 3)="All Groups", 1, IF(INDEX(_xlpm.z, , 3)=INDEX(_xlpm.z, , 1), 1, 0)),  _xlpm.k, _xlfn.DROP(_xlfn._xlws.FILTER(_xlpm.z, _xlpm.a), , -1), _xlpm.k)</definedName>
    <definedName name="InitiativeDetailsLanding">'Initiative Details'!$C$5</definedName>
    <definedName name="Introduced_Formula">_xlfn.XLOOKUP('Initiative Details'!$D$6,Controls!$P$22:$P$26,Controls!$R$22:$R$26,"",0,1)</definedName>
    <definedName name="List_Amendment_Repeal">Controls!$Q$22</definedName>
    <definedName name="List_New_Regulation_Repeal">Controls!$Q$23</definedName>
    <definedName name="List_Repeal_and_Replace_Repeal">Controls!$Q$25</definedName>
    <definedName name="List_Repeal_Only">Controls!$Q$24</definedName>
    <definedName name="MedLargeBusinessCounts">_xlfn._xlws.FILTER(tbl_Stakeholders[Med/Large Business Count], tbl_Stakeholders[Stakeholder Group]&lt;&gt;"")</definedName>
    <definedName name="MedLargeBusinessGrowthRates">_xlfn._xlws.FILTER(tbl_Stakeholders[Med/Large Business Growth Rate], tbl_Stakeholders[Stakeholder Group]&lt;&gt;"")</definedName>
    <definedName name="NET_AS">IF(NoOut, IN_AS, IF(NoIn, OUT_AS, _xlfn.UNIQUE(_xlfn.VSTACK(IN_AS, OUT_AS))))</definedName>
    <definedName name="NGroups">ROWS(Groups)</definedName>
    <definedName name="NoErrors">COUNTBLANK(tbl_Activities[Error Check])=ROWS(tbl_Activities[Error Check])</definedName>
    <definedName name="NoIn">SUM(--(_xlfn._xlws.FILTER(tbl_Activities[In or Out]="In", Checkblank)))=0</definedName>
    <definedName name="NonBusinessCounts">_xlfn._xlws.FILTER(tbl_Stakeholders[Non-business Count], tbl_Stakeholders[Stakeholder Group]&lt;&gt;"")</definedName>
    <definedName name="NonBusinessGrowthRates">_xlfn._xlws.FILTER(tbl_Stakeholders[Non-business Growth Rate], tbl_Stakeholders[Stakeholder Group]&lt;&gt;"")</definedName>
    <definedName name="NoOut">SUM(--(_xlfn._xlws.FILTER(tbl_Activities[In or Out]="Out", Checkblank)))=0</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UT_AS">_xlfn.LET( _xlpm.Stakeholders, _xlfn.UNIQUE(_xlfn._xlws.FILTER(tbl_Stakeholders[Stakeholder Group], tbl_Stakeholders[Stakeholder Group]&lt;&gt;"")), _xlpm.Activities, _xlfn.UNIQUE(_xlfn._xlws.FILTER(tbl_Activities[Activity], (tbl_Activities[In or Out]="Out")*Checkblank)), _xlpm.x, _xlfn.MAKEARRAY(ROWS(_xlpm.Stakeholders)*ROWS(_xlpm.Activities), 2, _xlfn.LAMBDA(_xlpm.r,_xlpm.c, _xlfn.LET(_xlpm.x, _xlpm.r/ROWS(_xlpm.Stakeholders), _xlpm.y, ROUNDUP(_xlpm.x, 0)-1, IF(_xlpm.c=2, INDEX(_xlpm.Activities, ROUNDUP(_xlpm.x, 0)), INDEX(_xlpm.Stakeholders, IF(_xlpm.r&lt;=ROWS(_xlpm.Stakeholders), _xlpm.r, _xlpm.r-ROWS(_xlpm.Stakeholders)*_xlpm.y)))))), _xlpm.y, INDEX(tbl_Activities[Affected Stakeholder Group], MATCH(INDEX(_xlpm.x, , 2), tbl_Activities[Activity], 0)), _xlpm.z, _xlfn.HSTACK(_xlpm.x, _xlpm.y), _xlpm.a, IF(INDEX(_xlpm.z, , 3)="All Groups", 1, IF(INDEX(_xlpm.z, , 3)=INDEX(_xlpm.z, , 1), 1, 0)), _xlfn.DROP(_xlfn._xlws.FILTER(_xlpm.z, _xlpm.a), , -1))</definedName>
    <definedName name="OutputRows">ROWS(_xlfn.ANCHORARRAY('Full Output'!$A$2))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tbl_Activities[Annual Frequency]*_xlpm.Years)), 0))</definedName>
    <definedName name="PriceYear">'Initiative Details'!$D$11</definedName>
    <definedName name="PVBaseYear">'Initiative Details'!$D$13</definedName>
    <definedName name="Repealed_Formula">_xlfn.XLOOKUP('Initiative Details'!$D$6,Controls!$P$22:$P$26,Controls!$Q$22:$Q18,"",0,1)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SBLLanding">'Small Business Lens'!$B$22</definedName>
    <definedName name="SmallBusinessCounts">_xlfn._xlws.FILTER(tbl_Stakeholders[Small Business Count], tbl_Stakeholders[Stakeholder Group]&lt;&gt;"")</definedName>
    <definedName name="SmallBusinessGrowthRates">_xlfn._xlws.FILTER(tbl_Stakeholders[Small Business Growth Rate], tbl_Stakeholders[Stakeholder Group]&lt;&gt;"")</definedName>
    <definedName name="st">IF('Impact by Activity+Stakeholder'!$C$13="Default", 1, IF('Impact by Activity+Stakeholder'!$C$13="Total Impact (↑)", 2, IF('Impact by Activity+Stakeholder'!$C$13="Total Impact (↓)", 3, IF('Impact by Activity+Stakeholder'!$C$13="Stakeholder Group (↑az)", 4, IF('Impact by Activity+Stakeholder'!$C$13="Stakeholder Group (↓za)", 5, IF('Impact by Activity+Stakeholder'!$C$13="Activity (↑az)", 6, IF('Impact by Activity+Stakeholder'!$C$13="Activity (↓za)", 7)))))))</definedName>
    <definedName name="StakeholderCols">COUNTA(_xlfn._xlws.FILTER(tbl_Stakeholders[Stakeholder Group], tbl_Stakeholders[Stakeholder Group]&lt;&gt;""))</definedName>
    <definedName name="StakeholderProfileLanding">'Stakeholder Profile'!$B$16</definedName>
    <definedName name="StakesIN">_xlfn.UNIQUE(_xlfn._xlws.FILTER(tbl_Activities[Affected Stakeholder Group], (tbl_Activities[In or Out]="In")*Checkblank))</definedName>
    <definedName name="StakesOUT">_xlfn.UNIQUE(_xlfn._xlws.FILTER(tbl_Activities[Affected Stakeholder Group], (tbl_Activities[In or Out]="Out")*Checkblank))</definedName>
    <definedName name="Tbl_NOc">Controls!$I$1:$I$57</definedName>
    <definedName name="TenCount">Controls!$P$33:$P$43</definedName>
    <definedName name="Time">'Initiative Details'!$D$14</definedName>
    <definedName name="versiondate">'Read Me'!$D$18</definedName>
    <definedName name="WageLookup">IFERROR(INDEX(tbl_Wages[Wage in price year of analysis (without overhead)], MATCH(tbl_Activities[[#This Row],[Labour: Staff Level (Wage Without Overhead)]], tbl_Wages[National Occupational Classification (NOC)], 0))*(1+_xlfn.IFS(tbl_Activities[[#This Row],[Labour: Internal or External Overhead]]="Internal", 0.25, tbl_Activities[[#This Row],[Labour: Internal or External Overhead]]="External", 0.5, TRUE, 0)), "")</definedName>
    <definedName name="YearOfRegistration">'Initiative Details'!$D$12</definedName>
    <definedName name="Years_since_2012">PVBaseYear-2012</definedName>
    <definedName name="Yrs">_xlfn.SEQUENCE(Time, ,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3" i="51" l="1" a="1"/>
  <c r="D23" i="51" s="1"/>
  <c r="C6" i="19" l="1"/>
  <c r="C8" i="50" l="1"/>
  <c r="C7" i="50"/>
  <c r="C6" i="50"/>
  <c r="C6" i="49" l="1"/>
  <c r="K2" i="10" a="1"/>
  <c r="K2" i="10" s="1"/>
  <c r="C8" i="49"/>
  <c r="C9" i="49"/>
  <c r="C7" i="49"/>
  <c r="L2" i="10" l="1" a="1"/>
  <c r="L2" i="10" s="1"/>
  <c r="M2" i="10" s="1" a="1"/>
  <c r="M2" i="10" s="1"/>
  <c r="C8" i="46"/>
  <c r="C7" i="46"/>
  <c r="C6" i="46"/>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F17" i="8" l="1"/>
  <c r="C6" i="9" s="1"/>
  <c r="G17" i="8" l="1"/>
  <c r="A14" i="6" a="1"/>
  <c r="A14" i="6" s="1"/>
  <c r="A16" i="8" a="1"/>
  <c r="A16"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DJ1" i="10"/>
  <c r="CH1" i="10"/>
  <c r="AP1" i="22" l="1" a="1"/>
  <c r="AP1" i="22" s="1"/>
  <c r="F2" i="10" a="1"/>
  <c r="F2" i="10" s="1"/>
  <c r="U26" i="10"/>
  <c r="U25" i="10"/>
  <c r="U24" i="10"/>
  <c r="U23" i="10"/>
  <c r="U22" i="10"/>
  <c r="Y5" i="10" l="1" a="1"/>
  <c r="Y5" i="10" s="1"/>
  <c r="U21" i="10"/>
  <c r="AD5" i="10" l="1" a="1"/>
  <c r="AD5" i="10" s="1"/>
  <c r="X5" i="10" a="1"/>
  <c r="X5" i="10" s="1"/>
  <c r="Z5" i="10" a="1"/>
  <c r="Z5" i="10" s="1"/>
  <c r="AB5" i="10" a="1"/>
  <c r="AB5" i="10" s="1"/>
  <c r="W5" i="10" a="1"/>
  <c r="W5" i="10" s="1"/>
  <c r="AM5" i="10" s="1" a="1"/>
  <c r="AM5" i="10" s="1"/>
  <c r="AC5" i="10" l="1" a="1"/>
  <c r="AC5" i="10" s="1"/>
  <c r="AA5" i="10" a="1"/>
  <c r="AA5" i="10" s="1"/>
  <c r="A2" i="22" a="1"/>
  <c r="A2" i="22" s="1"/>
  <c r="M2" i="22" l="1" a="1"/>
  <c r="M2" i="22" s="1"/>
  <c r="AG5" i="10" a="1"/>
  <c r="AG5" i="10" s="1"/>
  <c r="AH5" i="10" s="1" a="1"/>
  <c r="AH5" i="10" s="1"/>
  <c r="AA2" i="22" a="1"/>
  <c r="AA2" i="22" s="1"/>
  <c r="AC2" i="22" a="1"/>
  <c r="AC2" i="22" s="1"/>
  <c r="AB2" i="22" a="1"/>
  <c r="AB2" i="22" s="1"/>
  <c r="G2" i="22" a="1"/>
  <c r="G2" i="22" s="1"/>
  <c r="AG2" i="22" a="1"/>
  <c r="AG2" i="22" s="1"/>
  <c r="AE5" i="10" a="1"/>
  <c r="AE5" i="10" s="1"/>
  <c r="H2" i="22" a="1"/>
  <c r="H2" i="22" s="1"/>
  <c r="B2" i="22" a="1"/>
  <c r="B2" i="22" s="1"/>
  <c r="C2" i="22" a="1"/>
  <c r="C2" i="22" s="1"/>
  <c r="I2" i="22" a="1"/>
  <c r="I2" i="22" s="1"/>
  <c r="D2" i="22" a="1"/>
  <c r="D2" i="22" s="1"/>
  <c r="F2" i="22" a="1"/>
  <c r="F2" i="22" s="1"/>
  <c r="E2" i="22" l="1" a="1"/>
  <c r="E2" i="22" s="1"/>
  <c r="AE2" i="22" a="1"/>
  <c r="AE2" i="22" s="1"/>
  <c r="AD2" i="22" a="1"/>
  <c r="AD2" i="22" s="1"/>
  <c r="AF2" i="22" a="1"/>
  <c r="AF2" i="22" s="1"/>
  <c r="AO1" i="22" l="1"/>
  <c r="C8" i="38" l="1"/>
  <c r="C7" i="38"/>
  <c r="C6" i="38"/>
  <c r="E2" i="10" a="1"/>
  <c r="E2" i="10" s="1"/>
  <c r="C2" i="10" a="1"/>
  <c r="C2" i="10" s="1"/>
  <c r="E7" i="37" a="1"/>
  <c r="E7" i="37" s="1"/>
  <c r="D8" i="37" a="1"/>
  <c r="D8" i="37" s="1"/>
  <c r="C9" i="37" a="1"/>
  <c r="C9" i="37" s="1"/>
  <c r="B9" i="37" a="1"/>
  <c r="B9" i="37" s="1"/>
  <c r="C8" i="35"/>
  <c r="C7" i="35"/>
  <c r="C6" i="35"/>
  <c r="E9" i="37" l="1" a="1"/>
  <c r="E9" i="37" s="1"/>
  <c r="B15" i="4" a="1"/>
  <c r="B15" i="4" s="1"/>
  <c r="D9" i="37" l="1" a="1"/>
  <c r="D9" i="37" s="1"/>
  <c r="D10" i="1" l="1" a="1"/>
  <c r="D10" i="1" s="1"/>
  <c r="R14" i="10"/>
  <c r="S26" i="10" l="1"/>
  <c r="R10" i="10"/>
  <c r="R5" i="10" s="1"/>
  <c r="C7" i="9"/>
  <c r="B45" i="9" l="1"/>
  <c r="B44" i="9"/>
  <c r="B38" i="9"/>
  <c r="B37" i="9"/>
  <c r="B31" i="9"/>
  <c r="B30" i="9"/>
  <c r="C43" i="9" a="1"/>
  <c r="C43" i="9" s="1"/>
  <c r="C36" i="9" a="1"/>
  <c r="C36" i="9" s="1"/>
  <c r="C29" i="9" a="1"/>
  <c r="C29" i="9" s="1"/>
  <c r="M1" i="22" l="1"/>
  <c r="C10" i="19" l="1"/>
  <c r="C7" i="19" l="1"/>
  <c r="C9" i="19"/>
  <c r="C8" i="19"/>
  <c r="O4" i="10" l="1"/>
  <c r="O3" i="10" l="1"/>
  <c r="AH2" i="22" l="1" a="1"/>
  <c r="AH2" i="22" s="1"/>
  <c r="J2" i="22" s="1" a="1"/>
  <c r="J2" i="22" s="1"/>
  <c r="AL2" i="22" a="1"/>
  <c r="AL2" i="22" s="1"/>
  <c r="AI2" i="22" a="1"/>
  <c r="AI2" i="22" s="1"/>
  <c r="AK2" i="22" a="1"/>
  <c r="AK2" i="22" s="1"/>
  <c r="AJ2" i="22" a="1"/>
  <c r="AJ2" i="22" s="1"/>
  <c r="AM2" i="22" a="1"/>
  <c r="AM2" i="22" s="1"/>
  <c r="K2" i="22" l="1" a="1"/>
  <c r="K2" i="22" s="1"/>
  <c r="N2" i="22" a="1"/>
  <c r="N2" i="22" s="1"/>
  <c r="L2" i="22" l="1" a="1"/>
  <c r="L2" i="22" s="1"/>
  <c r="P2" i="22" s="1" a="1"/>
  <c r="P2" i="22" s="1"/>
  <c r="AJ5" i="10" l="1" a="1"/>
  <c r="AJ5" i="10" s="1"/>
  <c r="AP2" i="22" a="1"/>
  <c r="AP2" i="22" s="1"/>
  <c r="B19" i="38" s="1" a="1"/>
  <c r="B19" i="38" s="1"/>
  <c r="B19" i="46" l="1" a="1"/>
  <c r="B19" i="46" s="1"/>
  <c r="AS5" i="10" a="1"/>
  <c r="AS5" i="10" s="1"/>
  <c r="AV5" i="10" a="1"/>
  <c r="AV5" i="10" s="1"/>
  <c r="AU5" i="10" a="1"/>
  <c r="AU5" i="10" s="1"/>
  <c r="AT5" i="10" a="1"/>
  <c r="AT5" i="10" s="1"/>
  <c r="AZ5" i="10" a="1"/>
  <c r="AZ5" i="10" s="1"/>
  <c r="BH5" i="10" a="1"/>
  <c r="BH5" i="10" s="1"/>
  <c r="AX5" i="10" a="1"/>
  <c r="AX5" i="10" s="1"/>
  <c r="BB5" i="10" a="1"/>
  <c r="BB5" i="10" s="1"/>
  <c r="BD5" i="10" a="1"/>
  <c r="BD5" i="10" s="1"/>
  <c r="BC5" i="10" a="1"/>
  <c r="BC5" i="10" s="1"/>
  <c r="BG5" i="10" a="1"/>
  <c r="BG5" i="10" s="1"/>
  <c r="BA5" i="10" a="1"/>
  <c r="BA5" i="10" s="1"/>
  <c r="AW5" i="10" a="1"/>
  <c r="AW5" i="10" s="1"/>
  <c r="AY5" i="10" a="1"/>
  <c r="AY5" i="10" s="1"/>
  <c r="AF5" i="10" l="1" a="1"/>
  <c r="AF5" i="10" s="1"/>
  <c r="B14" i="18" a="1"/>
  <c r="B14" i="18" s="1"/>
  <c r="BF5" i="10" l="1" a="1"/>
  <c r="BF5" i="10" s="1"/>
  <c r="BE5" i="10" a="1"/>
  <c r="BE5" i="10" s="1"/>
  <c r="S2" i="22" l="1" a="1"/>
  <c r="S2" i="22" s="1"/>
  <c r="U2" i="22" a="1"/>
  <c r="U2" i="22" s="1"/>
  <c r="O2" i="22" a="1"/>
  <c r="O2" i="22" s="1"/>
  <c r="T2" i="22" l="1" a="1"/>
  <c r="T2" i="22" s="1"/>
  <c r="B20" i="19" s="1" a="1"/>
  <c r="B20" i="19" s="1"/>
  <c r="Q2" i="22" a="1"/>
  <c r="Q2" i="22" s="1"/>
  <c r="X2" i="22" a="1"/>
  <c r="X2" i="22" s="1"/>
  <c r="C38" i="9" l="1" a="1"/>
  <c r="C38" i="9" s="1"/>
  <c r="C31" i="9" a="1"/>
  <c r="C31" i="9" s="1"/>
  <c r="AI5" i="10" a="1"/>
  <c r="AI5" i="10" s="1"/>
  <c r="C30" i="9" a="1"/>
  <c r="C30" i="9" s="1"/>
  <c r="R2" i="22" a="1"/>
  <c r="R2" i="22" s="1"/>
  <c r="C37" i="9" a="1"/>
  <c r="C37" i="9" s="1"/>
  <c r="V2" i="22" a="1"/>
  <c r="V2" i="22" s="1"/>
  <c r="W2" i="22" s="1" a="1"/>
  <c r="W2" i="22" s="1"/>
  <c r="U15" i="6" l="1" a="1"/>
  <c r="U15" i="6" s="1"/>
  <c r="B18" i="50" a="1"/>
  <c r="B18" i="50" s="1"/>
  <c r="B19" i="35" a="1"/>
  <c r="B19" i="35" s="1"/>
  <c r="B21" i="49" a="1"/>
  <c r="B21" i="49" s="1"/>
  <c r="C44" i="9" a="1"/>
  <c r="C44" i="9" s="1"/>
  <c r="M44" i="9" s="1"/>
  <c r="M37" i="9"/>
  <c r="C39" i="9" a="1"/>
  <c r="C39" i="9" s="1"/>
  <c r="M30" i="9"/>
  <c r="C32" i="9" a="1"/>
  <c r="C32" i="9" s="1"/>
  <c r="M32" i="9" s="1"/>
  <c r="AO5" i="10" a="1"/>
  <c r="AO5" i="10" s="1"/>
  <c r="AQ5" i="10" a="1"/>
  <c r="AQ5" i="10" s="1"/>
  <c r="AP5" i="10" a="1"/>
  <c r="AP5" i="10" s="1"/>
  <c r="AN5" i="10" a="1"/>
  <c r="AN5" i="10" s="1"/>
  <c r="C33" i="9" a="1"/>
  <c r="C33" i="9" s="1"/>
  <c r="M33" i="9" s="1"/>
  <c r="N33" i="9" s="1"/>
  <c r="M31" i="9"/>
  <c r="N31" i="9" s="1"/>
  <c r="M38" i="9"/>
  <c r="N38" i="9" s="1"/>
  <c r="C40" i="9" a="1"/>
  <c r="C40" i="9" s="1"/>
  <c r="C45" i="9" a="1"/>
  <c r="C45" i="9" s="1"/>
  <c r="M45" i="9" s="1"/>
  <c r="N45" i="9" s="1"/>
  <c r="B17" i="35" l="1" a="1"/>
  <c r="B17" i="35" s="1"/>
  <c r="B17" i="38" a="1"/>
  <c r="B17" i="38" s="1"/>
  <c r="B19" i="49" a="1"/>
  <c r="B19" i="49" s="1"/>
  <c r="B17" i="46" a="1"/>
  <c r="B17" i="46" s="1"/>
  <c r="B16" i="50" a="1"/>
  <c r="B16" i="50" s="1"/>
  <c r="B21" i="9" a="1"/>
  <c r="B21" i="9" s="1"/>
  <c r="B18" i="19" a="1"/>
  <c r="B18" i="19" s="1"/>
  <c r="AR5" i="10"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 id="3" xr16:uid="{65752C26-B3EF-40CE-963E-A1FA478937F0}" keepAlive="1" name="Query - Table 0 (3)" description="Connection to the 'Table 0 (3)' query in the workbook." type="5" refreshedVersion="8" background="1" refreshOnLoad="1" saveData="1">
    <dbPr connection="Provider=Microsoft.Mashup.OleDb.1;Data Source=$Workbook$;Location=&quot;Table 0 (3)&quot;;Extended Properties=&quot;&quot;" command="SELECT * FROM [Table 0 (3)]"/>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<sst xmlns="http://schemas.openxmlformats.org/spreadsheetml/2006/main" count="508" uniqueCount="360">
  <si>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</si>
  <si>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</si>
  <si>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</si>
  <si>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</si>
  <si>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</si>
  <si>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</si>
  <si>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</si>
  <si>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</si>
  <si>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</si>
  <si>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</si>
  <si>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</si>
  <si>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</si>
  <si>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</si>
  <si>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(Click the cells above for more info)</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</si>
  <si>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</si>
  <si>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</si>
  <si>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</si>
  <si>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</si>
  <si>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</si>
  <si>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</si>
  <si>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</si>
  <si>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</si>
  <si>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</si>
  <si>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</si>
  <si>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Step 3: Activities</t>
  </si>
  <si>
    <t>Activity</t>
  </si>
  <si>
    <t>Administrative or Compliance</t>
  </si>
  <si>
    <t>In or Out</t>
  </si>
  <si>
    <t>Upfront or  Ongoing</t>
  </si>
  <si>
    <t>Start Year</t>
  </si>
  <si>
    <t>End Year</t>
  </si>
  <si>
    <t>Affected Stakeholder Group</t>
  </si>
  <si>
    <t>Affected Stakeholder Type</t>
  </si>
  <si>
    <t>Percent Affected</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</si>
  <si>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</si>
  <si>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</si>
  <si>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</si>
  <si>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</si>
  <si>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</si>
  <si>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</si>
  <si>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</si>
  <si>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</si>
  <si>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</si>
  <si>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Labour: Staff Level (Wage Without Overhead)</t>
  </si>
  <si>
    <t>Error Check</t>
  </si>
  <si>
    <t>Assumptions/Notes</t>
  </si>
  <si>
    <t>One-for-one</t>
  </si>
  <si>
    <t>Business count, time period, units of measurement:</t>
  </si>
  <si>
    <t>Count of all businesses at the start of the analytical period:</t>
  </si>
  <si>
    <t>Time (years):</t>
  </si>
  <si>
    <t>Price year:</t>
  </si>
  <si>
    <t>Discount rate:</t>
  </si>
  <si>
    <t>Discount base year:</t>
  </si>
  <si>
    <t>Results:</t>
  </si>
  <si>
    <t>Net Present Value Administrative Impact, All Businesses:</t>
  </si>
  <si>
    <t>Net Present Value Administrative Impact Per Business:</t>
  </si>
  <si>
    <t>Annualized Administrative Impact, All Businesses:</t>
  </si>
  <si>
    <t>Annualized Administrative Impact Per Business:</t>
  </si>
  <si>
    <t>Note: negative values represent net costs, positive values represent net benefits</t>
  </si>
  <si>
    <t>Draft RIAS text (revise as needed)</t>
  </si>
  <si>
    <t>Annual breakdown:</t>
  </si>
  <si>
    <t>IN</t>
  </si>
  <si>
    <t>CBA Parameter</t>
  </si>
  <si>
    <t>Total</t>
  </si>
  <si>
    <t>Annualized</t>
  </si>
  <si>
    <t>N/A</t>
  </si>
  <si>
    <t>Undiscounted Impacts (2012 price year)</t>
  </si>
  <si>
    <t>Discounted Impacts (2012 price year, 7% discount rate, 2012 discount base year)</t>
  </si>
  <si>
    <t>OUT</t>
  </si>
  <si>
    <t>NET</t>
  </si>
  <si>
    <t>Small Business Lens</t>
  </si>
  <si>
    <t>Count of small businesses at the start of the analytical period:</t>
  </si>
  <si>
    <t>Order of magnitude:</t>
  </si>
  <si>
    <t>Single</t>
  </si>
  <si>
    <t>Annual Stakeholder Count</t>
  </si>
  <si>
    <t>Group</t>
  </si>
  <si>
    <t>Type</t>
  </si>
  <si>
    <t>Present value base year:</t>
  </si>
  <si>
    <t>Statistics Canada.Table  14-10-0340-01   Employee wages by occupation, annual, 1997 to 2022</t>
  </si>
  <si>
    <t>National Occupational Classification (NOC)</t>
  </si>
  <si>
    <t>Price year of data source</t>
  </si>
  <si>
    <t>Wage in price year of data source (without overhead)</t>
  </si>
  <si>
    <t>Wage in price year of analysis (without overhead)</t>
  </si>
  <si>
    <t>Statistics Canada. Table 18-10-0005-01  Consumer Price Index, annual average, not seasonally adjusted</t>
  </si>
  <si>
    <t>Year</t>
  </si>
  <si>
    <t>Index</t>
  </si>
  <si>
    <t>Activity Number</t>
  </si>
  <si>
    <t>Activity Description</t>
  </si>
  <si>
    <t>Administrative/ Compliance</t>
  </si>
  <si>
    <t>In/Out</t>
  </si>
  <si>
    <t>Period</t>
  </si>
  <si>
    <t>Frequency</t>
  </si>
  <si>
    <t>Affected Group</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</si>
  <si>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</si>
  <si>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</si>
  <si>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</si>
  <si>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</si>
  <si>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</si>
  <si>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</si>
  <si>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</si>
  <si>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</si>
  <si>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</si>
  <si>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</si>
  <si>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</si>
  <si>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</si>
  <si>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</si>
  <si>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</si>
  <si>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</si>
  <si>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</si>
  <si>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</si>
  <si>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</si>
  <si>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</si>
  <si>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</si>
  <si>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</si>
  <si>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This Group Starting Non-Business Count</t>
  </si>
  <si>
    <t>This Group Non-Business Growth Rate</t>
  </si>
  <si>
    <t>This Group Starting Small Business Count</t>
  </si>
  <si>
    <t>This Group Small Business Growth Rate</t>
  </si>
  <si>
    <t>This Group Starting Med/Large Business Count</t>
  </si>
  <si>
    <t>This Group  Med/Large Business Growth Rate</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</si>
  <si>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</si>
  <si>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</si>
  <si>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</si>
  <si>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</si>
  <si>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</si>
  <si>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</si>
  <si>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</si>
  <si>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</si>
  <si>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Administrative</t>
  </si>
  <si>
    <t>Stakeholder 1, Undiscounted Impacts</t>
  </si>
  <si>
    <t>Stakeholder 1, Discounted Impacts</t>
  </si>
  <si>
    <t>Name</t>
  </si>
  <si>
    <t>Value</t>
  </si>
  <si>
    <t>Explanation</t>
  </si>
  <si>
    <t>repeat(Periods, ActivityNumber)</t>
  </si>
  <si>
    <t>IFERROR(INDEX(tbl_Activities[Activity], A2#), "")</t>
  </si>
  <si>
    <t>IFERROR(INDEX(tbl_Activities[Administrative or Compliance], A2#), "")</t>
  </si>
  <si>
    <t>IFERROR(INDEX(tbl_Activities[In or Out], A2#), "")</t>
  </si>
  <si>
    <t>IFERROR(
IF(AA2#="Start of Analytical Period", YearOfRegistration,
IF(AA2#="End of Analytical Period", YearOfRegistration+Timeperiod-1,
AA2#))
+ROUNDUP(IF(F2#/G2#-1&lt;0, 0, F2#/G2#-1), 0), "")</t>
  </si>
  <si>
    <t>IFERROR(
LET(
a, FILTER(Periods, Checkblank),
b, SEQUENCE(COUNTA(FILTER(Periods, Checkblank))),
c, TRANSPOSE(b),
d, --(b&gt;=c),
e, MMULT(d, a),
f, SUM(a),
g, SEQUENCE(f),
h, XMATCH(g-1, e,-1),
I, IFERROR(INDEX(e,h),0),
j, g - I,
j)-IF(INDEX(tbl_Activities[Upfront or  Ongoing], A2#)="Upfront", 1, 0),
"")</t>
  </si>
  <si>
    <t>IFERROR(IF(INDEX(tbl_Activities[Upfront or  Ongoing], A2#)="Ongoing", INDEX(tbl_Activities[Annual Frequency], A2#), 1), "")</t>
  </si>
  <si>
    <t>IFERROR(INDEX(tbl_Activities[Affected Stakeholder Group], A2#), "")</t>
  </si>
  <si>
    <t>IFERROR(INDEX(tbl_Activities[Percent Affected], A2#), "")</t>
  </si>
  <si>
    <t>MAKEARRAY(OutputRows, 1, LAMBDA(r,c,
IFERROR(IF(INDEX(AB2#, r)="All Businesses", 0, IF(INDEX(AB2#, r)="Med/Large Businesses", 0, IF(INDEX(AB2#, r)="Small Businesses", 0,
INDEX(TAKE(DROP(I:I,MATCH($I$1,I:I,0)),XMATCH(,DROP(I:I,MATCH($I$1,I:I,0)))-1), r)*
IF(AND(INDEX(AC2#, r)=1, INDEX(H2#, r)="All Groups"), SUMPRODUCT(NonBusinessCounts, (1+NonBusinessGrowthRates)^INDEX(AD2#, r)),
IF(AND(INDEX(AC2#, r)=1, NOT(INDEX(H2#, r)="All Groups")), INDEX(AH2#, r)*(1+INDEX(AI2#, r))^INDEX(AD2#, r),
IF(AND(INDEX(AC2#, r)=2, INDEX(H2#, r)="All Groups"), SUMPRODUCT(NonBusinessCounts, (1+NonBusinessGrowthRates)^IF(NonBusinessGrowthRates&lt;0, INDEX(AD2#, r), INDEX(AE2#, r))),
IF(AND(INDEX(AC2#, r)=2, NOT(INDEX(H2#, r)="All Groups")), INDEX(AH2#, r)*(1+INDEX(AI2#, r))^IF(INDEX(AI2#, r)&lt;0, INDEX(AD2#, r), INDEX(AE2#, r)),
IF(AND(INDEX(AC2#, r)=3, INDEX(H2#, r)="All Groups"), SUMPRODUCT(NonBusinessCounts, (1+IF(NonBusinessGrowthRates&lt;0, 0, NonBusinessGrowthRates))^INDEX(AD2#, r)-(1+IF(NonBusinessGrowthRates&lt;0, 0, NonBusinessGrowthRates))^INDEX(AE2#, r)),
IF(AND(INDEX(AC2#, r)=3, NOT(INDEX(H2#, r)="All Groups")), IF(INDEX(AI2#, r)&lt;0, 0, INDEX(AH2#, r)*((1+INDEX(AI2#, r))^INDEX(AD2#, r)-(1+INDEX(AI2#, r))^INDEX(AE2#, r))),
IF(AND(INDEX(AC2#, r)=4, INDEX(H2#, r)="All Groups"), IF(INDEX(F2#, r)=0, SUMPRODUCT(NonBusinessCounts, (1+NonBusinessGrowthRates)^INDEX(AD2#, r)), LET(g, (1+IF(NonBusinessGrowthRates&lt;0, 0, NonBusinessGrowthRates)), SUMPRODUCT(NonBusinessCounts, g^INDEX(AD2#, r)-g^(INDEX(AD2#, r-1))))),
IF(AND(INDEX(AC2#, r)=4, NOT(INDEX(H2#, r)="All Groups")), IF(INDEX(F2#, r)=0, INDEX(AH2#, r)*(1+INDEX(AI2#, r))^INDEX(AD2#, r), IF(INDEX(AI2#, r)&lt;0, 0, INDEX(AH2#, r)*((1+INDEX(AI2#, r))^INDEX(AD2#, r)-(1+INDEX(AI2#, r))^INDEX(AD2#, r-1)))),
IF(AND(INDEX(AC2#, r)=5, INDEX(H2#, r)="All Groups"), IF(INDEX(F2#, r)&gt;0, 0, SUMPRODUCT(NonBusinessCounts, (1+NonBusinessGrowthRates)^INDEX(AD2#, r))),
IF(AND(INDEX(AC2#, r)=5, NOT(INDEX(H2#, r)="All Groups")), IF(INDEX(F2#, r)&gt;0, 0, INDEX(AH2#, r)*(1+INDEX(AI2#, r))^INDEX(AD2#, r)),
IF(AND(INDEX(AC2#, r)=6, INDEX(H2#, r)="All Groups"), IF(INDEX(F2#, r)=0, 0, LET(g, (1+IF(NonBusinessGrowthRates&lt;0, 0, NonBusinessGrowthRates)), SUMPRODUCT(NonBusinessCounts, g^INDEX(AD2#, r)-g^(INDEX(AD2#, r-1))))),
IF(AND(INDEX(AC2#, r)=6, NOT(INDEX(H2#, r)="All Groups")), IF(INDEX(F2#, r)=0, 0, IF(INDEX(AI2#, r)&lt;0, 0, INDEX(AH2#, r)*((1+INDEX(AI2#, r))^INDEX(AD2#, r)-(1+INDEX(AI2#, r))^INDEX(AD2#, r-1)))),
0))))))))))))))), 0)))</t>
  </si>
  <si>
    <t>MAKEARRAY(OutputRows, 1, LAMBDA(r,c,
IFERROR(IF(INDEX(AB2#, r)="Med/Large Businesses", 0, IF(INDEX(AB2#, r)="All Non-Businesses", 0,
INDEX(TAKE(DROP(I:I,MATCH($I$1,I:I,0)),XMATCH(,DROP(I:I,MATCH($I$1,I:I,0)))-1), r)*
IF(AND(INDEX(AC2#, r)=1, INDEX(H2#, r)="All Groups"), SUMPRODUCT(SmallBusinessCounts, (1+SmallBusinessGrowthRates)^INDEX(AD2#, r)),
IF(AND(INDEX(AC2#, r)=1, NOT(INDEX(H2#, r)="All Groups")), INDEX(AJ2#, r)*(1+INDEX(AK2#, r))^INDEX(AD2#, r),
IF(AND(INDEX(AC2#, r)=2, INDEX(H2#, r)="All Groups"), SUMPRODUCT(SmallBusinessCounts, (1+SmallBusinessGrowthRates)^IF(SmallBusinessGrowthRates&lt;0, INDEX(AD2#, r), INDEX(AE2#, r))),
IF(AND(INDEX(AC2#, r)=2, NOT(INDEX(H2#, r)="All Groups")), INDEX(AJ2#, r)*(1+INDEX(AK2#, r))^IF(INDEX(AK2#, r)&lt;0, INDEX(AD2#, r), INDEX(AE2#, r)),
IF(AND(INDEX(AC2#, r)=3, INDEX(H2#, r)="All Groups"), SUMPRODUCT(SmallBusinessCounts, (1+IF(SmallBusinessGrowthRates&lt;0, 0, SmallBusinessGrowthRates))^INDEX(AD2#, r)-(1+IF(SmallBusinessGrowthRates&lt;0, 0, SmallBusinessGrowthRates))^INDEX(AE2#, r)),
IF(AND(INDEX(AC2#, r)=3, NOT(INDEX(H2#, r)="All Groups")), IF(INDEX(AK2#, r)&lt;0, 0, INDEX(AJ2#, r)*((1+INDEX(AK2#, r))^INDEX(AD2#, r)-(1+INDEX(AK2#, r))^INDEX(AE2#, r))),
IF(AND(INDEX(AC2#, r)=4, INDEX(H2#, r)="All Groups"), IF(INDEX(F2#, r)=0, SUMPRODUCT(SmallBusinessCounts, (1+SmallBusinessGrowthRates)^INDEX(AD2#, r)), LET(g, (1+IF(SmallBusinessGrowthRates&lt;0, 0, SmallBusinessGrowthRates)), SUMPRODUCT(SmallBusinessCounts, g^INDEX(AD2#, r)-g^(INDEX(AD2#, r-1))))),
IF(AND(INDEX(AC2#, r)=4, NOT(INDEX(H2#, r)="All Groups")), IF(INDEX(F2#, r)=0, INDEX(AJ2#, r)*(1+INDEX(AK2#, r))^INDEX(AD2#, r), IF(INDEX(AK2#, r)&lt;0, 0, INDEX(AJ2#, r)*((1+INDEX(AK2#, r))^INDEX(AD2#, r)-(1+INDEX(AK2#, r))^INDEX(AD2#, r-1)))),
IF(AND(INDEX(AC2#, r)=5, INDEX(H2#, r)="All Groups"), IF(INDEX(F2#, r)&gt;0, 0, SUMPRODUCT(SmallBusinessCounts, (1+SmallBusinessGrowthRates)^INDEX(AD2#, r))),
IF(AND(INDEX(AC2#, r)=5, NOT(INDEX(H2#, r)="All Groups")), IF(INDEX(F2#, r)&gt;0, 0, INDEX(AJ2#, r)*(1+INDEX(AK2#, r))^INDEX(AD2#, r)),
IF(AND(INDEX(AC2#, r)=6, INDEX(H2#, r)="All Groups"), IF(INDEX(F2#, r)=0, 0, LET(g, (1+IF(SmallBusinessGrowthRates&lt;0, 0, SmallBusinessGrowthRates)), SUMPRODUCT(SmallBusinessCounts, g^INDEX(AD2#, r)-g^(INDEX(AD2#, r-1))))),
IF(AND(INDEX(AC2#, r)=6, NOT(INDEX(H2#, r)="All Groups")), IF(INDEX(F2#, r)=0, 0, IF(INDEX(AK2#, r)&lt;0, 0, INDEX(AJ2#, r)*((1+INDEX(AK2#, r))^INDEX(AD2#, r)-(1+INDEX(AK2#, r))^INDEX(AD2#, r-1)))),
0)))))))))))))), 0)))</t>
  </si>
  <si>
    <t>MAKEARRAY(OutputRows, 1, LAMBDA(r,c,
IFERROR(IF(INDEX(AB2#, r)="Small Businesses", 0, IF(INDEX(AB2#, r)="All Non-Businesses", 0,
INDEX(TAKE(DROP(I:I,MATCH($I$1,I:I,0)),XMATCH(,DROP(I:I,MATCH($I$1,I:I,0)))-1), r)*
IF(AND(INDEX(AC2#, r)=1, INDEX(H2#, r)="All Groups"), SUMPRODUCT(MedLargeBusinessCounts, (1+MedLargeBusinessGrowthRates)^INDEX(AD2#, r)),
IF(AND(INDEX(AC2#, r)=1, NOT(INDEX(H2#, r)="All Groups")), INDEX(AL2#, r)*(1+INDEX(AM2#, r))^INDEX(AD2#, r),
IF(AND(INDEX(AC2#, r)=2, INDEX(H2#, r)="All Groups"), SUMPRODUCT(MedLargeBusinessCounts, (1+MedLargeBusinessGrowthRates)^IF(MedLargeBusinessGrowthRates&lt;0, INDEX(AD2#, r), INDEX(AE2#, r))),
IF(AND(INDEX(AC2#, r)=2, NOT(INDEX(H2#, r)="All Groups")), INDEX(AL2#, r)*(1+INDEX(AM2#, r))^IF(INDEX(AM2#, r)&lt;0, INDEX(AD2#, r), INDEX(AE2#, r)),
IF(AND(INDEX(AC2#, r)=3, INDEX(H2#, r)="All Groups"), SUMPRODUCT(MedLargeBusinessCounts, (1+IF(MedLargeBusinessGrowthRates&lt;0, 0, MedLargeBusinessGrowthRates))^INDEX(AD2#, r)-(1+IF(MedLargeBusinessGrowthRates&lt;0, 0, MedLargeBusinessGrowthRates))^INDEX(AE2#, r)),
IF(AND(INDEX(AC2#, r)=3, NOT(INDEX(H2#, r)="All Groups")), IF(INDEX(AM2#, r)&lt;0, 0, INDEX(AL2#, r)*((1+INDEX(AM2#, r))^INDEX(AD2#, r)-(1+INDEX(AM2#, r))^INDEX(AE2#, r))),
IF(AND(INDEX(AC2#, r)=4, INDEX(H2#, r)="All Groups"), IF(INDEX(F2#, r)=0, SUMPRODUCT(MedLargeBusinessCounts, (1+MedLargeBusinessGrowthRates)^INDEX(AD2#, r)), LET(g, (1+IF(MedLargeBusinessGrowthRates&lt;0, 0, MedLargeBusinessGrowthRates)), SUMPRODUCT(MedLargeBusinessCounts, g^INDEX(AD2#, r)-g^(INDEX(AD2#, r-1))))),
IF(AND(INDEX(AC2#, r)=4, NOT(INDEX(H2#, r)="All Groups")), IF(INDEX(F2#, r)=0, INDEX(AL2#, r)*(1+INDEX(AM2#, r))^INDEX(AD2#, r), IF(INDEX(AM2#, r)&lt;0, 0, INDEX(AL2#, r)*((1+INDEX(AM2#, r))^INDEX(AD2#, r)-(1+INDEX(AM2#, r))^INDEX(AD2#, r-1)))),
IF(AND(INDEX(AC2#, r)=5, INDEX(H2#, r)="All Groups"), IF(INDEX(F2#, r)&gt;0, 0, SUMPRODUCT(MedLargeBusinessCounts, (1+MedLargeBusinessGrowthRates)^INDEX(AD2#, r))),
IF(AND(INDEX(AC2#, r)=5, NOT(INDEX(H2#, r)="All Groups")), IF(INDEX(F2#, r)&gt;0, 0, INDEX(AL2#, r)*(1+INDEX(AM2#, r))^INDEX(AD2#, r)),
IF(AND(INDEX(AC2#, r)=6, INDEX(H2#, r)="All Groups"), IF(INDEX(F2#, r)=0, 0, LET(g, (1+IF(MedLargeBusinessGrowthRates&lt;0, 0, MedLargeBusinessGrowthRates)), SUMPRODUCT(MedLargeBusinessCounts, g^INDEX(AD2#, r)-g^(INDEX(AD2#, r-1))))),
IF(AND(INDEX(AC2#, r)=6, NOT(INDEX(H2#, r)="All Groups")), IF(INDEX(F2#, r)=0, 0, IF(INDEX(AM2#, r)&lt;0, 0, INDEX(AL2#, r)*((1+INDEX(AM2#, r))^INDEX(AD2#, r)-(1+INDEX(AM2#, r))^INDEX(AD2#, r-1)))),
0)))))))))))))), 0)))</t>
  </si>
  <si>
    <t>LET(
     AffectedNonBusinesses, TAKE(DROP(J:J,MATCH(J$1,J:J,0)),XMATCH(,DROP(J:J,MATCH(J$1,J:J,0)))-1),
IFERROR(M2#*AffectedNonBusinesses, ""))</t>
  </si>
  <si>
    <t>LET(
     AffectedSmallBusinesses, TAKE(DROP(K:K,MATCH(K$1,K:K,0)),XMATCH(,DROP(K:K,MATCH(K$1,K:K,0)))-1),
IFERROR(M2#*AffectedSmallBusinesses, ""))</t>
  </si>
  <si>
    <t>LET(
     AffectedMedLargeBusinesses, TAKE(DROP(L:L,MATCH(L$1,L:L,0)),XMATCH(,DROP(L:L,MATCH(L$1,L:L,0)))-1),
IFERROR(M2#*AffectedMedLargeBusinesses, ""))</t>
  </si>
  <si>
    <t>IFERROR($O$2#+$P$2#,0)</t>
  </si>
  <si>
    <t>IFERROR($Q$2#+$N$2#, 0)</t>
  </si>
  <si>
    <t>IFERROR($N$2#/(1+Discount)^$AF$2#,0)</t>
  </si>
  <si>
    <t>IFERROR($O$2#/(1+Discount)^$AF$2#,0)</t>
  </si>
  <si>
    <t>IFERROR(P2#/(1+Discount)^$AF$2#,0)</t>
  </si>
  <si>
    <t>IFERROR($T$2#+$U$2#, 0)</t>
  </si>
  <si>
    <t>IFERROR($V$2#+$S$2#, 0)</t>
  </si>
  <si>
    <t>IFERROR(--($C$2#="Administrative")*($O$2#+$P$2#)/(1.07)^$AF$2#, 0)</t>
  </si>
  <si>
    <t>INDEX(tbl_Activities[Start Year], $A$2#)</t>
  </si>
  <si>
    <t>INDEX(tbl_Activities[Affected Stakeholder Type], A2#)</t>
  </si>
  <si>
    <t>INDEX(ActivityType, A2#)</t>
  </si>
  <si>
    <t>IFERROR(
IF(AA2#="Start of Analytical Period", F2#/G2#,
IF(AA2#="End of Analytical Period",Timeperiod-1+F2#/G2#,
AA2#-YearOfRegistration+F2#/G2#)),
"")</t>
  </si>
  <si>
    <t>IFERROR(
IF(AA2#="Start of Analytical Period", 0,
IF(AA2#="End of Analytical Period", Timeperiod-1,
AA2#-YearOfRegistration)),
"")</t>
  </si>
  <si>
    <t>IFERROR(
IF(AA2#="Start of Analytical Period", (YearOfRegistration-PVBaseYear)+$F$2#/$G$2#,
IF(AA2#="End of Analytical Period", (YearOfRegistration-PVBaseYear)+Timeperiod-1+$F$2#/$G$2#,
AA2#-PVBaseYear+$F$2#/$G$2#)),
"")</t>
  </si>
  <si>
    <t>IFERROR(MATCH(INDEX(tbl_Activities[Affected Stakeholder Group], 'Full Output'!$A$2#), FILTER(tbl_Stakeholders[Stakeholder Group], tbl_Stakeholders[Stakeholder Group]&lt;&gt;""), 0), "")</t>
  </si>
  <si>
    <t>IFERROR(INDEX(NonBusinessCounts, AG2#), "")</t>
  </si>
  <si>
    <t>IFERROR(INDEX(NonBusinessGrowthRates, AG2#), "")</t>
  </si>
  <si>
    <t>IFERROR(INDEX(SmallBusinessCounts, AG2#), "")</t>
  </si>
  <si>
    <t>IFERROR(INDEX(SmallBusinessGrowthRates, AG2#), "")</t>
  </si>
  <si>
    <t>IFERROR(INDEX(MedLargeBusinessCounts, AG2#), "")</t>
  </si>
  <si>
    <t>IFERROR(INDEX(MedLargeBusinessGrowthRates, AG2#), "")</t>
  </si>
  <si>
    <t>IFERROR(LET(
nonbusinesscosts_undiscounted, MAKEARRAY(OutputRows,StakeholderCols,LAMBDA(r,c, LET(AllGroups, INDEX(H2#, r)="All Groups", ThisGroup, IF(c=INDEX(AG2#, r), INDEX(J2#, r), 0),
IF(INDEX(AB2#, r)="Med/Large Businesses", 0, IF(INDEX(AB2#, r)="All Businesses", 0, IF(INDEX(AB2#, r)=" Small Businesses", 0,
INDEX(M2#, r)*
IF(INDEX(AC2#,r)=1, IF(AllGroups, INDEX(I2#, r)*INDEX(NonBusinessCounts,c)*(1+INDEX(NonBusinessGrowthRates, c))^INDEX(AD2#, r), ThisGroup),
IF(INDEX(AC2#,r)=2, IF(AllGroups, INDEX(I2#, r)*INDEX(NonBusinessCounts, c)*(1+INDEX(NonBusinessGrowthRates, c))^IF(INDEX(NonBusinessGrowthRates, c)&lt;0, INDEX(AD2#, r), INDEX(AE2#, r)), ThisGroup),
IF(INDEX(AC2#,r)=3, IF(AllGroups, INDEX(I2#, r)*INDEX(NonBusinessCounts, c)*((1+MAX(INDEX(NonBusinessGrowthRates, c), 0))^INDEX(AD2#, r)-(1+MAX(INDEX(NonBusinessGrowthRates, c), 0))^INDEX(AE2#, r)), ThisGroup),
IF(INDEX(AC2#,r)=4, IF(AllGroups, INDEX(I2#, r)*IF(INDEX(F2#,r)=0, INDEX(NonBusinessCounts, c)*(1+INDEX(NonBusinessGrowthRates, c))^INDEX(AD2#, r), INDEX(NonBusinessCounts, c)*(((1+MAX(INDEX(NonBusinessGrowthRates, c), 0))^INDEX(AD2#, r))-(1+MAX(INDEX(NonBusinessGrowthRates, c), 0))^INDEX(AD2#, r-1))), ThisGroup),
IF(INDEX(AC2#,r)=5, IF(AllGroups, INDEX(I2#, r)*IF(INDEX(F2#,r)=0, INDEX(NonBusinessCounts, c)*(1+INDEX(NonBusinessGrowthRates, c))^INDEX(AD2#, r), 0), ThisGroup),
IF(INDEX(AC2#,r)=6, IF(AllGroups, INDEX(I2#, r)*IF(INDEX(F2#, r)=0, 0, INDEX(NonBusinessCounts, c)*(((1+MAX(INDEX(NonBusinessGrowthRates, c), 0))^INDEX(AD2#, r))-(1+MAX(INDEX(NonBusinessGrowthRates, c), 0))^INDEX(AD2#, r-1))), AP2),
0)))))))))))),
smallbusinesscosts_undiscounted, MAKEARRAY(OutputRows,StakeholderCols,LAMBDA(r,c, LET(AllGroups, INDEX(H2#, r)="All Groups", ThisGroup, IF(c=INDEX(AG2#, r), INDEX(K2#, r), 0),
IF(INDEX(AB2#, r)="Med/Large Businesses", 0, IF(INDEX(AB2#, r)="All Non-Businesses", 0,
INDEX(M2#, r)*
IF(INDEX(AC2#,r)=1, IF(AllGroups, INDEX(I2#, r)*INDEX(SmallBusinessCounts,c)*(1+INDEX(SmallBusinessGrowthRates, c))^INDEX(AD2#, r), ThisGroup),
IF(INDEX(AC2#,r)=2, IF(AllGroups, INDEX(I2#, r)*INDEX(SmallBusinessCounts, c)*(1+INDEX(SmallBusinessGrowthRates, c))^IF(INDEX(SmallBusinessGrowthRates, c)&lt;0, INDEX(AD2#, r), INDEX(AE2#, r)), ThisGroup),
IF(INDEX(AC2#,r)=3, IF(AllGroups, INDEX(I2#, r)*INDEX(SmallBusinessCounts, c)*((1+MAX(INDEX(SmallBusinessGrowthRates, c), 0))^INDEX(AD2#, r)-(1+MAX(INDEX(SmallBusinessGrowthRates, c), 0))^INDEX(AE2#, r)), ThisGroup),
IF(INDEX(AC2#,r)=4, IF(AllGroups, INDEX(I2#, r)*IF(INDEX(F2#,r)=0, INDEX(SmallBusinessCounts, c)*(1+INDEX(SmallBusinessGrowthRates, c))^INDEX(AD2#, r), INDEX(SmallBusinessCounts, c)*(((1+MAX(INDEX(SmallBusinessGrowthRates, c), 0))^INDEX(AD2#, r))-(1+MAX(INDEX(SmallBusinessGrowthRates, c), 0))^INDEX(AD2#, r-1))), ThisGroup),
IF(INDEX(AC2#,r)=5, IF(AllGroups, INDEX(I2#, r)*IF(INDEX(F2#,r)=0, INDEX(SmallBusinessCounts, c)*(1+INDEX(SmallBusinessGrowthRates, c))^INDEX(AD2#, r), 0), ThisGroup),
IF(INDEX(AC2#,r)=6, IF(AllGroups, INDEX(I2#, r)*IF(INDEX(F2#, r)=0, 0, INDEX(SmallBusinessCounts, c)*(((1+MAX(INDEX(SmallBusinessGrowthRates, c), 0))^INDEX(AD2#, r))-(1+MAX(INDEX(SmallBusinessGrowthRates, c), 0))^INDEX(AD2#, r-1))), ThisGroup),
0))))))))))),
medlargebusinesscosts_undiscounted, MAKEARRAY(OutputRows,StakeholderCols,LAMBDA(r,c, LET(AllGroups, INDEX(H2#, r)="All Groups", ThisGroup, IF(c=INDEX(AG2#, r), INDEX(L2#, r), 0),
IF(INDEX(AB2#, r)="Small Businesses", 0, IF(INDEX(AB2#, r)="All Non-Businesses", 0,
INDEX(M2#, r)*
IF(INDEX(AC2#,r)=1, IF(AllGroups, INDEX(I2#, r)*INDEX(MedLargeBusinessCounts,c)*(1+INDEX(MedLargeBusinessGrowthRates, c))^INDEX(AD2#, r), ThisGroup),
IF(INDEX(AC2#,r)=2, IF(AllGroups, INDEX(I2#, r)*INDEX(MedLargeBusinessCounts, c)*(1+INDEX(MedLargeBusinessGrowthRates, c))^IF(INDEX(MedLargeBusinessGrowthRates, c)&lt;0, INDEX(AD2#, r), INDEX(AE2#, r)), ThisGroup),
IF(INDEX(AC2#,r)=3, IF(AllGroups, INDEX(I2#, r)*INDEX(MedLargeBusinessCounts, c)*((1+MAX(INDEX(MedLargeBusinessGrowthRates, c), 0))^INDEX(AD2#, r)-(1+MAX(INDEX(MedLargeBusinessGrowthRates, c), 0))^INDEX(AE2#, r)), ThisGroup),
IF(INDEX(AC2#,r)=4, IF(AllGroups, INDEX(I2#, r)*IF(INDEX(F2#,r)=0, INDEX(MedLargeBusinessCounts, c)*(1+INDEX(MedLargeBusinessGrowthRates, c))^INDEX(AD2#, r), INDEX(MedLargeBusinessCounts, c)*(((1+MAX(INDEX(MedLargeBusinessGrowthRates, c), 0))^INDEX(AD2#, r))-(1+MAX(INDEX(MedLargeBusinessGrowthRates, c), 0))^INDEX(AD2#, r-1))), ThisGroup),
IF(INDEX(AC2#,r)=5, IF(AllGroups, INDEX(I2#, r)*IF(INDEX(F2#,r)=0, INDEX(MedLargeBusinessCounts, c)*(1+INDEX(MedLargeBusinessGrowthRates, c))^INDEX(AD2#, r), 0), ThisGroup),
IF(INDEX(AC2#,r)=6, IF(AllGroups, INDEX(I2#, r)*IF(INDEX(F2#, r)=0, 0, INDEX(MedLargeBusinessCounts, c)*(((1+MAX(INDEX(MedLargeBusinessGrowthRates, c), 0))^INDEX(AD2#, r))-(1+MAX(INDEX(MedLargeBusinessGrowthRates, c), 0))^INDEX(AD2#, r-1))), ThisGroup),
0))))))))))),
x, nonbusinesscosts_undiscounted+smallbusinesscosts_undiscounted+medlargebusinesscosts_undiscounted,
HSTACK(x, x/(1+Discount)^AF2#)), "")</t>
  </si>
  <si>
    <t>AF_7_10</t>
  </si>
  <si>
    <t>Annualization factor locked at the parameters needed for one-for-one section</t>
  </si>
  <si>
    <t>Individual Break Down</t>
  </si>
  <si>
    <t>AF</t>
  </si>
  <si>
    <t>Annualization factor that adjusts with discount rate and analytical period length</t>
  </si>
  <si>
    <t>Activity Name</t>
  </si>
  <si>
    <t>IN / OUT</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</si>
  <si>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</si>
  <si>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</si>
  <si>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</si>
  <si>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</si>
  <si>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</si>
  <si>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</si>
  <si>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</si>
  <si>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</si>
  <si>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</si>
  <si>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</si>
  <si>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</si>
  <si>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</si>
  <si>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</si>
  <si>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</si>
  <si>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</si>
  <si>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</si>
  <si>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</si>
  <si>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</si>
  <si>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</si>
  <si>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</si>
  <si>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</si>
  <si>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</si>
  <si>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</si>
  <si>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</si>
  <si>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</si>
  <si>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</si>
  <si>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</si>
  <si>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</si>
  <si>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</si>
  <si>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</si>
  <si>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</si>
  <si>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</si>
  <si>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</si>
  <si>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</si>
  <si>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</si>
  <si>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</si>
  <si>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</si>
  <si>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</si>
  <si>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</si>
  <si>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</si>
  <si>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</si>
  <si>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</si>
  <si>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</si>
  <si>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</si>
  <si>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</si>
  <si>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</si>
  <si>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</si>
  <si>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</si>
  <si>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</si>
  <si>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</si>
  <si>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</si>
  <si>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</si>
  <si>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</si>
  <si>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</si>
  <si>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</si>
  <si>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</si>
  <si>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</si>
  <si>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</si>
  <si>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</si>
  <si>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</si>
  <si>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</si>
  <si>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</si>
  <si>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</si>
  <si>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</si>
  <si>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</si>
  <si>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</si>
  <si>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</si>
  <si>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</si>
  <si>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Note: negative net values represent net costs and positive net values represent net benefits.</t>
  </si>
  <si>
    <t>Group tables by:</t>
  </si>
  <si>
    <t>Number</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</si>
  <si>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</si>
  <si>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</si>
  <si>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</si>
  <si>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</si>
  <si>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</si>
  <si>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</si>
  <si>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</si>
  <si>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</si>
  <si>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</si>
  <si>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</si>
  <si>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</si>
  <si>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</si>
  <si>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</si>
  <si>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</si>
  <si>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</si>
  <si>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</si>
  <si>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</si>
  <si>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</si>
  <si>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</si>
  <si>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</si>
  <si>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</si>
  <si>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</si>
  <si>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</si>
  <si>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</si>
  <si>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</si>
  <si>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</si>
  <si>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</si>
  <si>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</si>
  <si>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</si>
  <si>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</si>
  <si>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</si>
  <si>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</si>
  <si>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</si>
  <si>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</si>
  <si>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</si>
  <si>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</si>
  <si>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</si>
  <si>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</si>
  <si>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</si>
  <si>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</si>
  <si>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</si>
  <si>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</si>
  <si>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</si>
  <si>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</si>
  <si>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</si>
  <si>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</si>
  <si>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</si>
  <si>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</si>
  <si>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</si>
  <si>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</si>
  <si>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</si>
  <si>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IFERROR(LET(
     InternalExternal, IF(INDEX(tbl_Activities[Labour: Internal or External Overhead], A2#)="Internal (25%)",0.25, IF(INDEX(tbl_Activities[Labour: Internal or External Overhead], A2#)="External (50%)", 0.5, 0)),
     CapitalLabour, INDEX(tbl_Activities[Capital or Labour], A2#),
     StaffLevel, LEFT(INDEX(tbl_Activities[Labour: Staff Level (Wage Without Overhead)],A2#), 2),
     StaffWage,XLOOKUP(StaffLevel,LEFT(Controls!I2#, 2),Controls!J2#,"Error3",0,1),
     InOut,IF(INDEX(tbl_Activities[In or Out], A2#)="In",1,-1),
InOut*IF(CapitalLabour="Labour",StaffWage*(1+InternalExternal)*INDEX(tbl_Activities[Labour: Time Spent (hours)],A2#),INDEX(tbl_Activities[Capital: Number of Units], A2#)*INDEX(tbl_Activities[Capital: Unit Price], A2#)
     *INDEX(tbl_CPI[Index], MATCH(PriceYear, tbl_CPI[Year], 0))/INDEX(tbl_CPI[Index], MATCH(INDEX(tbl_Activities[Capital: Price Year of Unit Price], A2#), tbl_CPI[Year], 0))
 )), 0)</t>
  </si>
  <si>
    <t>Discounting</t>
  </si>
  <si>
    <t>Display years in:</t>
  </si>
  <si>
    <t>Columns</t>
  </si>
  <si>
    <t>Sort tables by:</t>
  </si>
  <si>
    <t>Annual Impact by Stakeholder</t>
  </si>
  <si>
    <t>Annual Impact by Activity</t>
  </si>
  <si>
    <t>Annual impact of all activities to all stakeholders throughout the analytical period</t>
  </si>
  <si>
    <t>Default</t>
  </si>
  <si>
    <t>Other relevant year(s) 1</t>
  </si>
  <si>
    <t>Other relevant year(s) 2</t>
  </si>
  <si>
    <t>Other relevant year(s) 3</t>
  </si>
  <si>
    <t>Variable</t>
  </si>
  <si>
    <t>Do not change</t>
  </si>
  <si>
    <t>Input required</t>
  </si>
  <si>
    <t>Input optional</t>
  </si>
  <si>
    <t>Instructions</t>
  </si>
  <si>
    <t>Number of years</t>
  </si>
  <si>
    <t>Other relevant year 1:</t>
  </si>
  <si>
    <t>Other relevant year 2:</t>
  </si>
  <si>
    <t>Other relevant year 3:</t>
  </si>
  <si>
    <t xml:space="preserve"> </t>
  </si>
  <si>
    <t>Annual Impact by Activity and Stakeholder</t>
  </si>
  <si>
    <t>User input required</t>
  </si>
  <si>
    <t>Text</t>
  </si>
  <si>
    <t>Format values as:</t>
  </si>
  <si>
    <t>Decimals (for Text formatting):</t>
  </si>
  <si>
    <t xml:space="preserve">Version: </t>
  </si>
  <si>
    <t>Objective:</t>
  </si>
  <si>
    <t>For support, contact:</t>
  </si>
  <si>
    <t>Methodology:</t>
  </si>
  <si>
    <t>Policy on Limiting Regulatory Burden on Business</t>
  </si>
  <si>
    <t>Version date (yyyy-mm-dd):</t>
  </si>
  <si>
    <t xml:space="preserve">CORE-CCR@tbs-sct.gc.ca </t>
  </si>
  <si>
    <t>To quantify and monetize:</t>
  </si>
  <si>
    <t>Guidance:</t>
  </si>
  <si>
    <t>Sheet colour legend:</t>
  </si>
  <si>
    <t>: One-for-one rule and Small Business Lens output (required for RIAS).</t>
  </si>
  <si>
    <t>: Optional output tables (not necessarily required for RIAS).</t>
  </si>
  <si>
    <t>: Optional inputs (edits are not necessary).</t>
  </si>
  <si>
    <t>: RCC model internals (edits are not recommended).</t>
  </si>
  <si>
    <t>: User input required (white cells only).</t>
  </si>
  <si>
    <t>Standard Cost Model</t>
  </si>
  <si>
    <t>(1) the direct administrative costs associated with INs and OUTs under the one-for-one rule, and</t>
  </si>
  <si>
    <t>Step 1: On the 'Initiative Details' sheet, enter information pertaining to the regulatory change.</t>
  </si>
  <si>
    <t>Step 2: On the 'Stakeholder Profile' sheet, enter stakeholder group names, counts, and growth rates at the start of the analytical period.</t>
  </si>
  <si>
    <t xml:space="preserve">Step 5: Adjust the auto-generated One-for-one RIAS text, as appropriate. </t>
  </si>
  <si>
    <t>Right-click and Refresh this box to check for a new version</t>
  </si>
  <si>
    <t>Step 3: On the 'Activities' sheet, enter information about each regulatory requirement (e.g., start/end dates, capital/labour costs, frequency).</t>
  </si>
  <si>
    <t xml:space="preserve">Step 4: Add the results from the One-for-one and Small Business Lens sheets into the RIAS.   </t>
  </si>
  <si>
    <t>Rows</t>
  </si>
  <si>
    <t>Note: in the tables below, Benefits are the OUTs and Costs are the INs from the Activities tab.</t>
  </si>
  <si>
    <t>Draft Cost-benefit Statement (revise as needed before adding to the RIAS)</t>
  </si>
  <si>
    <t>Note: enter your stakeholder information as of the start of the analytical period (i.e., at the date of registration).</t>
  </si>
  <si>
    <t>Instructions:</t>
  </si>
  <si>
    <t xml:space="preserve">(2) the direct compliance and administrative costs associated with the small business lens.   </t>
  </si>
  <si>
    <t>Guide to Limiting Regulatory Burden on Business</t>
  </si>
  <si>
    <t>https://wiki.gccollab.ca/File:RCCV4_Beta.xlsx</t>
  </si>
  <si>
    <t>GCwiki link:</t>
  </si>
  <si>
    <t xml:space="preserve">Enter the first custom wage in this row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</si>
</sst>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s>
  <fonts count="49" x14ac:knownFonts="1">
    <font>
      <sz val="11"/>
      <color theme="1"/>
      <name val="Calibri"/>
      <family val="2"/>
      <scheme val="minor"/>
    </font>
    <font>
      <sz val="11"/>
      <color theme="1"/>
      <name val="Calibri"/>
      <family val="2"/>
      <scheme val="minor"/>
    </font>
    <font>
      <b/>
      <u/>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i/>
      <sz val="11"/>
      <color theme="1"/>
      <name val="Calibri"/>
      <family val="2"/>
      <scheme val="minor"/>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b/>
      <sz val="10"/>
      <color rgb="FFCCDC00"/>
      <name val="Arial"/>
      <family val="2"/>
    </font>
    <font>
      <b/>
      <u/>
      <sz val="9"/>
      <color theme="10"/>
      <name val="Arial"/>
      <family val="2"/>
    </font>
    <font>
      <sz val="11"/>
      <color theme="0"/>
      <name val="Calibri"/>
      <family val="2"/>
      <scheme val="minor"/>
    </font>
    <font>
      <i/>
      <sz val="10"/>
      <color theme="1"/>
      <name val="Arial"/>
      <family val="2"/>
    </font>
    <font>
      <sz val="9"/>
      <color theme="0" tint="-0.249977111117893"/>
      <name val="Arial"/>
      <family val="2"/>
    </font>
    <font>
      <b/>
      <sz val="18"/>
      <color rgb="FFFF0000"/>
      <name val="Arial"/>
      <family val="2"/>
    </font>
    <font>
      <b/>
      <sz val="11"/>
      <color theme="1"/>
      <name val="Calibri"/>
      <family val="2"/>
      <scheme val="minor"/>
    </font>
    <font>
      <sz val="11"/>
      <color rgb="FF000000"/>
      <name val="Calibri"/>
      <family val="2"/>
    </font>
    <font>
      <b/>
      <u/>
      <sz val="11"/>
      <color theme="10"/>
      <name val="Arial"/>
      <family val="2"/>
    </font>
    <font>
      <b/>
      <sz val="9"/>
      <name val="Arial"/>
      <family val="2"/>
    </font>
    <font>
      <u/>
      <sz val="9"/>
      <color theme="10"/>
      <name val="Arial"/>
      <family val="2"/>
    </font>
    <font>
      <u/>
      <sz val="9"/>
      <color theme="1"/>
      <name val="Arial"/>
      <family val="2"/>
    </font>
    <font>
      <sz val="10"/>
      <color rgb="FF000000"/>
      <name val="Arial"/>
      <family val="2"/>
    </font>
    <font>
      <u/>
      <sz val="10"/>
      <color theme="1"/>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0" fontId="4" fillId="0" borderId="0"/>
    <xf numFmtId="0" fontId="10" fillId="0" borderId="0" applyNumberFormat="0" applyFill="0" applyBorder="0" applyAlignment="0" applyProtection="0"/>
    <xf numFmtId="164" fontId="4" fillId="0" borderId="0" applyFont="0" applyFill="0" applyBorder="0" applyAlignment="0" applyProtection="0"/>
  </cellStyleXfs>
  <cellXfs count="280">
    <xf numFmtId="0" fontId="0" fillId="0" borderId="0" xfId="0"/>
    <xf numFmtId="0" fontId="2" fillId="0" borderId="0" xfId="0" applyFont="1"/>
    <xf numFmtId="0" fontId="0" fillId="0" borderId="1" xfId="0" applyBorder="1"/>
    <xf numFmtId="167" fontId="0" fillId="0" borderId="0" xfId="0" applyNumberFormat="1"/>
    <xf numFmtId="0" fontId="5" fillId="3" borderId="0" xfId="0" applyFont="1" applyFill="1" applyAlignment="1">
      <alignment vertical="center" wrapText="1"/>
    </xf>
    <xf numFmtId="167" fontId="0" fillId="0" borderId="0" xfId="0" applyNumberFormat="1" applyAlignment="1">
      <alignment horizontal="right" vertical="center"/>
    </xf>
    <xf numFmtId="0" fontId="9" fillId="3" borderId="0" xfId="0" applyFont="1" applyFill="1" applyAlignment="1">
      <alignment vertical="center" wrapText="1"/>
    </xf>
    <xf numFmtId="2" fontId="0" fillId="0" borderId="0" xfId="0" applyNumberFormat="1"/>
    <xf numFmtId="0" fontId="0" fillId="0" borderId="0" xfId="0" applyAlignment="1">
      <alignment wrapText="1"/>
    </xf>
    <xf numFmtId="0" fontId="14" fillId="0" borderId="1" xfId="0" applyFont="1" applyBorder="1" applyAlignment="1">
      <alignment horizontal="right"/>
    </xf>
    <xf numFmtId="0" fontId="14" fillId="0" borderId="1" xfId="0" applyFont="1" applyBorder="1"/>
    <xf numFmtId="166" fontId="13" fillId="0" borderId="1" xfId="0" applyNumberFormat="1" applyFont="1" applyBorder="1" applyAlignment="1">
      <alignment horizontal="right" vertical="center"/>
    </xf>
    <xf numFmtId="0" fontId="7" fillId="0" borderId="0" xfId="0" applyFont="1" applyAlignment="1">
      <alignment vertical="center"/>
    </xf>
    <xf numFmtId="0" fontId="0" fillId="6" borderId="0" xfId="0" applyFill="1"/>
    <xf numFmtId="0" fontId="8" fillId="0" borderId="1" xfId="0" applyFont="1" applyBorder="1" applyAlignment="1">
      <alignment horizontal="center" vertical="center" wrapText="1"/>
    </xf>
    <xf numFmtId="0" fontId="13"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9" fontId="0" fillId="0" borderId="0" xfId="2" applyFont="1" applyAlignment="1">
      <alignment horizontal="right"/>
    </xf>
    <xf numFmtId="0" fontId="13" fillId="0" borderId="0" xfId="0" applyFont="1" applyAlignment="1">
      <alignment vertical="top" wrapText="1"/>
    </xf>
    <xf numFmtId="0" fontId="18" fillId="0" borderId="1" xfId="4" applyFont="1" applyBorder="1" applyAlignment="1" applyProtection="1">
      <alignment horizontal="center" vertical="center" wrapText="1"/>
      <protection locked="0"/>
    </xf>
    <xf numFmtId="0" fontId="18" fillId="0" borderId="1" xfId="4" applyFont="1" applyBorder="1" applyAlignment="1" applyProtection="1">
      <alignment vertical="center" wrapText="1"/>
      <protection locked="0"/>
    </xf>
    <xf numFmtId="9" fontId="18" fillId="0" borderId="1" xfId="2" applyFont="1" applyBorder="1" applyAlignment="1" applyProtection="1">
      <alignment horizontal="center" vertical="center" wrapText="1"/>
      <protection locked="0"/>
    </xf>
    <xf numFmtId="0" fontId="6" fillId="2" borderId="12" xfId="4" applyFont="1" applyFill="1" applyBorder="1" applyAlignment="1" applyProtection="1">
      <alignment vertical="center"/>
      <protection hidden="1"/>
    </xf>
    <xf numFmtId="0" fontId="6" fillId="2" borderId="12" xfId="4" applyFont="1" applyFill="1" applyBorder="1" applyAlignment="1" applyProtection="1">
      <alignment horizontal="left" vertical="center" wrapText="1"/>
      <protection hidden="1"/>
    </xf>
    <xf numFmtId="0" fontId="6" fillId="2" borderId="3" xfId="4" applyFont="1" applyFill="1" applyBorder="1" applyAlignment="1" applyProtection="1">
      <alignment horizontal="left" vertical="center" wrapText="1"/>
      <protection hidden="1"/>
    </xf>
    <xf numFmtId="0" fontId="18" fillId="0" borderId="0" xfId="4" applyFont="1"/>
    <xf numFmtId="0" fontId="6" fillId="0" borderId="0" xfId="4" applyFont="1" applyAlignment="1" applyProtection="1">
      <alignment horizontal="center" vertical="center"/>
      <protection hidden="1"/>
    </xf>
    <xf numFmtId="0" fontId="0" fillId="0" borderId="0" xfId="0" applyAlignment="1">
      <alignment horizontal="center" vertical="center"/>
    </xf>
    <xf numFmtId="2" fontId="0" fillId="0" borderId="0" xfId="0" applyNumberFormat="1" applyAlignment="1">
      <alignment horizontal="center" vertical="center"/>
    </xf>
    <xf numFmtId="0" fontId="12" fillId="0" borderId="0" xfId="0" applyFont="1" applyAlignment="1">
      <alignment horizontal="center" vertical="center"/>
    </xf>
    <xf numFmtId="0" fontId="14" fillId="0" borderId="0" xfId="0" applyFont="1" applyAlignment="1">
      <alignment horizontal="left" vertical="center" wrapText="1"/>
    </xf>
    <xf numFmtId="0" fontId="13" fillId="0" borderId="0" xfId="1" applyNumberFormat="1" applyFont="1" applyBorder="1"/>
    <xf numFmtId="0" fontId="19" fillId="0" borderId="0" xfId="0" applyFont="1" applyAlignment="1">
      <alignment horizontal="left" vertical="center" wrapText="1" indent="5"/>
    </xf>
    <xf numFmtId="0" fontId="14" fillId="0" borderId="0" xfId="0" applyFont="1" applyAlignment="1">
      <alignment vertical="top" wrapText="1"/>
    </xf>
    <xf numFmtId="0" fontId="13" fillId="0" borderId="0" xfId="0" applyFont="1" applyAlignment="1">
      <alignment wrapText="1"/>
    </xf>
    <xf numFmtId="0" fontId="7" fillId="0" borderId="0" xfId="0" applyFont="1" applyAlignment="1">
      <alignment wrapText="1"/>
    </xf>
    <xf numFmtId="0" fontId="16" fillId="0" borderId="0" xfId="0" applyFont="1" applyAlignment="1">
      <alignment wrapText="1"/>
    </xf>
    <xf numFmtId="0" fontId="14" fillId="0" borderId="0" xfId="0" applyFont="1" applyAlignment="1">
      <alignment horizontal="right" wrapText="1"/>
    </xf>
    <xf numFmtId="0" fontId="19" fillId="0" borderId="0" xfId="0" applyFont="1" applyAlignment="1">
      <alignment horizontal="left" vertical="center" wrapText="1"/>
    </xf>
    <xf numFmtId="0" fontId="14" fillId="0" borderId="1" xfId="0" applyFont="1" applyBorder="1" applyAlignment="1">
      <alignment wrapText="1"/>
    </xf>
    <xf numFmtId="0" fontId="13" fillId="0" borderId="1" xfId="0" applyFont="1" applyBorder="1" applyAlignment="1">
      <alignment wrapText="1"/>
    </xf>
    <xf numFmtId="0" fontId="13" fillId="0" borderId="0" xfId="0" applyFont="1" applyAlignment="1">
      <alignment horizontal="left" vertical="center" wrapText="1"/>
    </xf>
    <xf numFmtId="0" fontId="20" fillId="0" borderId="0" xfId="0" applyFont="1" applyAlignment="1">
      <alignment vertical="center"/>
    </xf>
    <xf numFmtId="0" fontId="0" fillId="0" borderId="0" xfId="0" applyAlignment="1">
      <alignment vertical="top" wrapText="1"/>
    </xf>
    <xf numFmtId="0" fontId="21" fillId="0" borderId="0" xfId="0" applyFont="1" applyAlignment="1">
      <alignment vertical="top" wrapText="1"/>
    </xf>
    <xf numFmtId="0" fontId="22" fillId="0" borderId="0" xfId="0" applyFont="1"/>
    <xf numFmtId="0" fontId="17" fillId="0" borderId="0" xfId="0" applyFont="1"/>
    <xf numFmtId="1" fontId="18" fillId="8" borderId="1" xfId="2" applyNumberFormat="1" applyFont="1" applyFill="1" applyBorder="1" applyAlignment="1" applyProtection="1">
      <alignment horizontal="center" vertical="center" wrapText="1"/>
      <protection locked="0"/>
    </xf>
    <xf numFmtId="0" fontId="23" fillId="2" borderId="2" xfId="4" applyFont="1" applyFill="1" applyBorder="1" applyAlignment="1" applyProtection="1">
      <alignment horizontal="center" vertical="center" wrapText="1"/>
      <protection hidden="1"/>
    </xf>
    <xf numFmtId="0" fontId="23" fillId="2" borderId="3" xfId="4" applyFont="1" applyFill="1" applyBorder="1" applyAlignment="1" applyProtection="1">
      <alignment horizontal="center" vertical="center" wrapText="1"/>
      <protection hidden="1"/>
    </xf>
    <xf numFmtId="0" fontId="23" fillId="2" borderId="4" xfId="4" applyFont="1" applyFill="1" applyBorder="1" applyAlignment="1" applyProtection="1">
      <alignment horizontal="center" vertical="center" wrapText="1"/>
      <protection hidden="1"/>
    </xf>
    <xf numFmtId="3" fontId="24" fillId="0" borderId="7" xfId="4" applyNumberFormat="1" applyFont="1" applyBorder="1" applyAlignment="1" applyProtection="1">
      <alignment horizontal="center" vertical="center" wrapText="1"/>
      <protection locked="0"/>
    </xf>
    <xf numFmtId="3" fontId="24" fillId="0" borderId="8" xfId="4" applyNumberFormat="1" applyFont="1" applyBorder="1" applyAlignment="1" applyProtection="1">
      <alignment horizontal="center" vertical="center" wrapText="1"/>
      <protection locked="0"/>
    </xf>
    <xf numFmtId="0" fontId="14" fillId="0" borderId="4" xfId="0" applyFont="1" applyBorder="1" applyAlignment="1">
      <alignment vertical="center"/>
    </xf>
    <xf numFmtId="0" fontId="14" fillId="0" borderId="4" xfId="0" applyFont="1" applyBorder="1" applyAlignment="1">
      <alignment horizontal="center" vertical="center" wrapText="1"/>
    </xf>
    <xf numFmtId="0" fontId="24" fillId="0" borderId="1" xfId="4" applyFont="1" applyBorder="1" applyAlignment="1">
      <alignment horizontal="center"/>
    </xf>
    <xf numFmtId="167" fontId="24" fillId="0" borderId="6" xfId="4" applyNumberFormat="1" applyFont="1" applyBorder="1"/>
    <xf numFmtId="0" fontId="14" fillId="0" borderId="0" xfId="0" applyFont="1"/>
    <xf numFmtId="0" fontId="13" fillId="0" borderId="0" xfId="0" applyFont="1" applyAlignment="1">
      <alignment horizontal="right"/>
    </xf>
    <xf numFmtId="0" fontId="13" fillId="0" borderId="0" xfId="0" applyFont="1" applyAlignment="1">
      <alignment horizontal="left"/>
    </xf>
    <xf numFmtId="0" fontId="16" fillId="0" borderId="0" xfId="0" applyFont="1" applyAlignment="1">
      <alignment vertical="center"/>
    </xf>
    <xf numFmtId="0" fontId="19" fillId="0" borderId="0" xfId="0" applyFont="1"/>
    <xf numFmtId="3" fontId="24" fillId="5" borderId="8" xfId="4" applyNumberFormat="1" applyFont="1" applyFill="1" applyBorder="1" applyAlignment="1" applyProtection="1">
      <alignment horizontal="center" vertical="center" wrapText="1"/>
      <protection locked="0"/>
    </xf>
    <xf numFmtId="0" fontId="13" fillId="0" borderId="0" xfId="0" applyFont="1" applyAlignment="1">
      <alignment vertical="center"/>
    </xf>
    <xf numFmtId="0" fontId="13" fillId="0" borderId="9" xfId="0" applyFont="1" applyBorder="1" applyAlignment="1">
      <alignment horizontal="right" vertical="center" wrapText="1"/>
    </xf>
    <xf numFmtId="0" fontId="13" fillId="0" borderId="10" xfId="0" applyFont="1" applyBorder="1" applyAlignment="1">
      <alignment horizontal="right" vertical="center" wrapText="1"/>
    </xf>
    <xf numFmtId="0" fontId="13" fillId="0" borderId="4" xfId="0" applyFont="1" applyBorder="1" applyAlignment="1">
      <alignment horizontal="right" vertical="center" wrapText="1"/>
    </xf>
    <xf numFmtId="167" fontId="13" fillId="0" borderId="7" xfId="0" applyNumberFormat="1" applyFont="1" applyBorder="1" applyAlignment="1">
      <alignment horizontal="right" vertical="center"/>
    </xf>
    <xf numFmtId="167" fontId="13" fillId="0" borderId="11" xfId="0" applyNumberFormat="1" applyFont="1" applyBorder="1" applyAlignment="1">
      <alignment horizontal="right"/>
    </xf>
    <xf numFmtId="167" fontId="13" fillId="0" borderId="2" xfId="0" applyNumberFormat="1" applyFont="1" applyBorder="1" applyAlignment="1">
      <alignment horizontal="right"/>
    </xf>
    <xf numFmtId="0" fontId="28" fillId="0" borderId="0" xfId="5" applyFont="1"/>
    <xf numFmtId="0" fontId="14" fillId="0" borderId="2" xfId="0" applyFont="1" applyBorder="1" applyAlignment="1">
      <alignment horizontal="right" vertical="center"/>
    </xf>
    <xf numFmtId="0" fontId="14"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3" fillId="0" borderId="7" xfId="0" applyFont="1" applyBorder="1" applyAlignment="1">
      <alignment horizontal="right" vertical="center"/>
    </xf>
    <xf numFmtId="0" fontId="13" fillId="0" borderId="9" xfId="0" applyFont="1" applyBorder="1" applyAlignment="1">
      <alignment horizontal="right" vertical="center"/>
    </xf>
    <xf numFmtId="9" fontId="0" fillId="0" borderId="0" xfId="2" applyFont="1"/>
    <xf numFmtId="43" fontId="7" fillId="0" borderId="0" xfId="1" applyFont="1" applyAlignment="1">
      <alignment vertical="center"/>
    </xf>
    <xf numFmtId="43" fontId="11" fillId="0" borderId="0" xfId="1" applyFont="1"/>
    <xf numFmtId="0" fontId="27" fillId="2" borderId="0" xfId="1" applyNumberFormat="1" applyFont="1" applyFill="1"/>
    <xf numFmtId="0" fontId="15" fillId="0" borderId="0" xfId="1" applyNumberFormat="1" applyFont="1"/>
    <xf numFmtId="0" fontId="11" fillId="0" borderId="0" xfId="1" applyNumberFormat="1" applyFont="1"/>
    <xf numFmtId="0" fontId="14" fillId="9" borderId="4" xfId="0" applyFont="1" applyFill="1" applyBorder="1" applyAlignment="1">
      <alignment horizontal="center" vertical="center" wrapText="1"/>
    </xf>
    <xf numFmtId="167" fontId="13" fillId="9" borderId="6" xfId="0" applyNumberFormat="1" applyFont="1" applyFill="1" applyBorder="1"/>
    <xf numFmtId="167" fontId="13" fillId="9" borderId="9" xfId="0" applyNumberFormat="1" applyFont="1" applyFill="1" applyBorder="1"/>
    <xf numFmtId="0" fontId="24" fillId="9" borderId="1" xfId="4" applyFont="1" applyFill="1" applyBorder="1" applyAlignment="1">
      <alignment horizontal="center"/>
    </xf>
    <xf numFmtId="0" fontId="13" fillId="9" borderId="9" xfId="0" applyFont="1" applyFill="1" applyBorder="1" applyAlignment="1">
      <alignment horizontal="right" wrapText="1"/>
    </xf>
    <xf numFmtId="0" fontId="13" fillId="9" borderId="10" xfId="0" applyFont="1" applyFill="1" applyBorder="1" applyAlignment="1">
      <alignment horizontal="right" wrapText="1"/>
    </xf>
    <xf numFmtId="1" fontId="13" fillId="9" borderId="11" xfId="1" applyNumberFormat="1" applyFont="1" applyFill="1" applyBorder="1" applyAlignment="1">
      <alignment horizontal="right" vertical="center"/>
    </xf>
    <xf numFmtId="9" fontId="13" fillId="9" borderId="11" xfId="1" applyNumberFormat="1" applyFont="1" applyFill="1" applyBorder="1" applyAlignment="1">
      <alignment horizontal="right" vertical="center"/>
    </xf>
    <xf numFmtId="0" fontId="13" fillId="9" borderId="4" xfId="0" applyFont="1" applyFill="1" applyBorder="1" applyAlignment="1">
      <alignment horizontal="right" wrapText="1"/>
    </xf>
    <xf numFmtId="1" fontId="13" fillId="9" borderId="2" xfId="1" applyNumberFormat="1" applyFont="1" applyFill="1" applyBorder="1" applyAlignment="1">
      <alignment horizontal="right" vertical="center"/>
    </xf>
    <xf numFmtId="0" fontId="13" fillId="0" borderId="0" xfId="0" applyFont="1" applyAlignment="1">
      <alignment horizontal="center" vertical="center" wrapText="1"/>
    </xf>
    <xf numFmtId="0" fontId="13" fillId="0" borderId="0" xfId="0" applyFont="1" applyAlignment="1">
      <alignment horizontal="center"/>
    </xf>
    <xf numFmtId="0" fontId="5" fillId="0" borderId="0" xfId="0" applyFont="1" applyAlignment="1">
      <alignment vertical="center" wrapText="1"/>
    </xf>
    <xf numFmtId="0" fontId="29" fillId="11" borderId="0" xfId="0" applyFont="1" applyFill="1"/>
    <xf numFmtId="0" fontId="21" fillId="0" borderId="0" xfId="0" applyFont="1" applyAlignment="1">
      <alignment vertical="center" wrapText="1"/>
    </xf>
    <xf numFmtId="166" fontId="0" fillId="0" borderId="0" xfId="0" applyNumberFormat="1"/>
    <xf numFmtId="0" fontId="32" fillId="0" borderId="0" xfId="0" applyFont="1" applyAlignment="1">
      <alignment wrapText="1"/>
    </xf>
    <xf numFmtId="169" fontId="0" fillId="0" borderId="0" xfId="0" applyNumberFormat="1"/>
    <xf numFmtId="10" fontId="24" fillId="0" borderId="8" xfId="2" applyNumberFormat="1" applyFont="1" applyFill="1" applyBorder="1" applyAlignment="1" applyProtection="1">
      <alignment horizontal="center" vertical="center" wrapText="1"/>
      <protection locked="0"/>
    </xf>
    <xf numFmtId="0" fontId="11" fillId="0" borderId="1" xfId="0" applyFont="1" applyBorder="1" applyAlignment="1">
      <alignment horizontal="left" vertical="top" wrapText="1"/>
    </xf>
    <xf numFmtId="0" fontId="33" fillId="0" borderId="0" xfId="0" applyFont="1"/>
    <xf numFmtId="0" fontId="0" fillId="0" borderId="14" xfId="0" applyBorder="1" applyAlignment="1">
      <alignment wrapText="1"/>
    </xf>
    <xf numFmtId="0" fontId="0" fillId="0" borderId="15" xfId="0" applyBorder="1" applyAlignment="1">
      <alignment wrapText="1"/>
    </xf>
    <xf numFmtId="0" fontId="33" fillId="0" borderId="13" xfId="0" applyFont="1" applyBorder="1" applyAlignment="1">
      <alignment wrapText="1"/>
    </xf>
    <xf numFmtId="0" fontId="0" fillId="0" borderId="13" xfId="0" applyBorder="1"/>
    <xf numFmtId="0" fontId="0" fillId="0" borderId="14" xfId="0" applyBorder="1"/>
    <xf numFmtId="0" fontId="34" fillId="0" borderId="0" xfId="0" applyFont="1" applyAlignment="1">
      <alignment vertical="center"/>
    </xf>
    <xf numFmtId="0" fontId="34" fillId="0" borderId="0" xfId="0" applyFont="1" applyAlignment="1">
      <alignment vertical="center" wrapText="1"/>
    </xf>
    <xf numFmtId="2" fontId="0" fillId="0" borderId="0" xfId="0" applyNumberFormat="1" applyAlignment="1">
      <alignment wrapText="1"/>
    </xf>
    <xf numFmtId="167" fontId="14" fillId="0" borderId="11" xfId="0" applyNumberFormat="1" applyFont="1" applyBorder="1" applyAlignment="1">
      <alignment horizontal="right"/>
    </xf>
    <xf numFmtId="0" fontId="35" fillId="0" borderId="0" xfId="5" applyFont="1"/>
    <xf numFmtId="0" fontId="9" fillId="3" borderId="0" xfId="0" applyFont="1" applyFill="1" applyAlignment="1">
      <alignment vertical="center"/>
    </xf>
    <xf numFmtId="0" fontId="29" fillId="11" borderId="0" xfId="0" applyFont="1" applyFill="1" applyAlignment="1">
      <alignment vertical="center"/>
    </xf>
    <xf numFmtId="0" fontId="33" fillId="0" borderId="0" xfId="0" applyFont="1" applyAlignment="1">
      <alignment vertical="center" wrapText="1"/>
    </xf>
    <xf numFmtId="0" fontId="33" fillId="0" borderId="0" xfId="0" applyFont="1" applyAlignment="1">
      <alignment vertical="center"/>
    </xf>
    <xf numFmtId="0" fontId="33" fillId="0" borderId="0" xfId="0" applyFont="1" applyAlignment="1">
      <alignment horizontal="right" vertical="center" wrapText="1"/>
    </xf>
    <xf numFmtId="0" fontId="13" fillId="0" borderId="0" xfId="0" applyFont="1" applyAlignment="1">
      <alignment horizontal="left" vertical="center" indent="1"/>
    </xf>
    <xf numFmtId="0" fontId="25" fillId="0" borderId="0" xfId="0" applyFont="1" applyAlignment="1">
      <alignment horizontal="left" indent="1"/>
    </xf>
    <xf numFmtId="0" fontId="13" fillId="0" borderId="0" xfId="0" applyFont="1" applyAlignment="1">
      <alignment horizontal="left" indent="1"/>
    </xf>
    <xf numFmtId="0" fontId="0" fillId="0" borderId="0" xfId="0" applyAlignment="1">
      <alignment horizontal="right" vertical="center"/>
    </xf>
    <xf numFmtId="3" fontId="24" fillId="0" borderId="8" xfId="4" applyNumberFormat="1" applyFont="1" applyFill="1" applyBorder="1" applyAlignment="1" applyProtection="1">
      <alignment horizontal="center" vertical="center" wrapText="1"/>
      <protection locked="0"/>
    </xf>
    <xf numFmtId="0" fontId="13" fillId="0" borderId="8" xfId="0" applyNumberFormat="1" applyFont="1" applyBorder="1" applyAlignment="1" applyProtection="1">
      <alignment horizontal="center" vertical="center" wrapText="1"/>
      <protection locked="0"/>
    </xf>
    <xf numFmtId="0" fontId="31" fillId="4" borderId="8" xfId="0" applyNumberFormat="1" applyFont="1" applyFill="1" applyBorder="1" applyAlignment="1" applyProtection="1">
      <alignment horizontal="center" vertical="center" wrapText="1"/>
      <protection locked="0"/>
    </xf>
    <xf numFmtId="166" fontId="31" fillId="4" borderId="8" xfId="0" applyNumberFormat="1" applyFont="1" applyFill="1" applyBorder="1" applyAlignment="1" applyProtection="1">
      <alignment horizontal="center" vertical="center" wrapText="1"/>
      <protection locked="0"/>
    </xf>
    <xf numFmtId="2" fontId="24" fillId="0" borderId="8" xfId="0" applyNumberFormat="1" applyFont="1" applyFill="1" applyBorder="1" applyAlignment="1" applyProtection="1">
      <alignment horizontal="center" vertical="center" wrapText="1"/>
      <protection locked="0"/>
    </xf>
    <xf numFmtId="3" fontId="24" fillId="5" borderId="8" xfId="4" applyNumberFormat="1" applyFont="1" applyFill="1" applyBorder="1" applyAlignment="1" applyProtection="1">
      <alignment horizontal="center" vertical="center" wrapText="1"/>
    </xf>
    <xf numFmtId="0" fontId="24" fillId="0" borderId="8" xfId="4" applyNumberFormat="1" applyFont="1" applyFill="1" applyBorder="1" applyAlignment="1" applyProtection="1">
      <alignment horizontal="center" vertical="center" wrapText="1"/>
      <protection locked="0"/>
    </xf>
    <xf numFmtId="0" fontId="13" fillId="0" borderId="8" xfId="0" applyNumberFormat="1" applyFont="1" applyFill="1" applyBorder="1" applyAlignment="1" applyProtection="1">
      <alignment horizontal="center" vertical="center" wrapText="1"/>
      <protection locked="0"/>
    </xf>
    <xf numFmtId="3" fontId="36" fillId="12" borderId="7" xfId="4" applyNumberFormat="1" applyFont="1" applyFill="1" applyBorder="1" applyAlignment="1" applyProtection="1">
      <alignment horizontal="center" vertical="center" wrapText="1"/>
      <protection locked="0"/>
    </xf>
    <xf numFmtId="0" fontId="14" fillId="0" borderId="3" xfId="0" applyFont="1" applyBorder="1" applyAlignment="1">
      <alignment vertical="center"/>
    </xf>
    <xf numFmtId="0" fontId="24" fillId="9" borderId="3" xfId="4" applyFont="1" applyFill="1" applyBorder="1" applyAlignment="1">
      <alignment horizontal="center" wrapText="1"/>
    </xf>
    <xf numFmtId="0" fontId="24" fillId="9" borderId="5" xfId="4" applyFont="1" applyFill="1" applyBorder="1" applyAlignment="1">
      <alignment horizontal="left" vertical="center" wrapText="1"/>
    </xf>
    <xf numFmtId="0" fontId="24" fillId="9" borderId="7" xfId="4" applyFont="1" applyFill="1" applyBorder="1" applyAlignment="1">
      <alignment horizontal="left" vertical="center" wrapText="1"/>
    </xf>
    <xf numFmtId="0" fontId="24"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3" fontId="13" fillId="0" borderId="0" xfId="0" applyNumberFormat="1" applyFont="1" applyAlignment="1">
      <alignment vertical="center"/>
    </xf>
    <xf numFmtId="171" fontId="13" fillId="0" borderId="0" xfId="1" applyNumberFormat="1" applyFont="1" applyAlignment="1">
      <alignment vertical="center"/>
    </xf>
    <xf numFmtId="171" fontId="13" fillId="9" borderId="7" xfId="1" applyNumberFormat="1" applyFont="1" applyFill="1" applyBorder="1" applyAlignment="1">
      <alignment horizontal="right" vertical="center"/>
    </xf>
    <xf numFmtId="10" fontId="24" fillId="0" borderId="12" xfId="0" applyNumberFormat="1" applyFont="1" applyBorder="1" applyAlignment="1" applyProtection="1">
      <alignment vertical="center" wrapText="1"/>
      <protection locked="0"/>
    </xf>
    <xf numFmtId="10" fontId="13" fillId="0" borderId="0" xfId="2" applyNumberFormat="1" applyFont="1" applyAlignment="1">
      <alignment vertical="center"/>
    </xf>
    <xf numFmtId="0" fontId="11" fillId="0" borderId="0" xfId="0" applyFont="1" applyAlignment="1">
      <alignment horizontal="right"/>
    </xf>
    <xf numFmtId="1" fontId="24" fillId="0" borderId="8" xfId="1" applyNumberFormat="1" applyFont="1" applyFill="1" applyBorder="1" applyAlignment="1" applyProtection="1">
      <alignment horizontal="center" vertical="center" wrapText="1"/>
      <protection locked="0"/>
    </xf>
    <xf numFmtId="167" fontId="13" fillId="0" borderId="0" xfId="0" applyNumberFormat="1" applyFont="1"/>
    <xf numFmtId="0" fontId="37" fillId="0" borderId="0" xfId="5" applyFont="1" applyFill="1"/>
    <xf numFmtId="0" fontId="37" fillId="0" borderId="0" xfId="5" applyFont="1"/>
    <xf numFmtId="0" fontId="38" fillId="0" borderId="0" xfId="0" applyFont="1"/>
    <xf numFmtId="1" fontId="13" fillId="0" borderId="0" xfId="0" applyNumberFormat="1" applyFont="1" applyAlignment="1">
      <alignment horizontal="right" vertical="center"/>
    </xf>
    <xf numFmtId="1" fontId="13" fillId="0" borderId="0" xfId="0" applyNumberFormat="1" applyFont="1" applyAlignment="1">
      <alignment horizontal="left" vertical="center" wrapText="1"/>
    </xf>
    <xf numFmtId="1" fontId="13" fillId="0" borderId="0" xfId="0" applyNumberFormat="1" applyFont="1" applyAlignment="1">
      <alignment horizontal="right" vertical="center" wrapText="1"/>
    </xf>
    <xf numFmtId="1" fontId="7" fillId="0" borderId="0" xfId="0" applyNumberFormat="1" applyFont="1" applyAlignment="1">
      <alignment vertical="center"/>
    </xf>
    <xf numFmtId="1" fontId="11" fillId="0" borderId="0" xfId="0" applyNumberFormat="1" applyFont="1" applyAlignment="1">
      <alignment horizontal="right" vertical="center"/>
    </xf>
    <xf numFmtId="1" fontId="40" fillId="0" borderId="0" xfId="0" applyNumberFormat="1" applyFont="1" applyAlignment="1">
      <alignment horizontal="left"/>
    </xf>
    <xf numFmtId="1" fontId="15" fillId="0" borderId="1" xfId="0" applyNumberFormat="1" applyFont="1" applyBorder="1" applyAlignment="1">
      <alignment horizontal="right" wrapText="1"/>
    </xf>
    <xf numFmtId="1" fontId="15" fillId="0" borderId="8" xfId="0" applyNumberFormat="1" applyFont="1" applyBorder="1" applyAlignment="1">
      <alignment horizontal="right" vertical="center"/>
    </xf>
    <xf numFmtId="1" fontId="15" fillId="0" borderId="1" xfId="0" applyNumberFormat="1" applyFont="1" applyBorder="1" applyAlignment="1">
      <alignment horizontal="right" vertical="center"/>
    </xf>
    <xf numFmtId="1" fontId="11" fillId="9" borderId="9" xfId="0" applyNumberFormat="1" applyFont="1" applyFill="1" applyBorder="1" applyAlignment="1">
      <alignment horizontal="right" vertical="center"/>
    </xf>
    <xf numFmtId="1" fontId="11" fillId="9" borderId="8" xfId="0" applyNumberFormat="1" applyFont="1" applyFill="1" applyBorder="1" applyAlignment="1">
      <alignment horizontal="right" vertical="center"/>
    </xf>
    <xf numFmtId="1" fontId="11" fillId="9" borderId="10" xfId="0" applyNumberFormat="1" applyFont="1" applyFill="1" applyBorder="1" applyAlignment="1">
      <alignment horizontal="right" vertical="center"/>
    </xf>
    <xf numFmtId="1" fontId="11" fillId="9" borderId="12" xfId="2" applyNumberFormat="1" applyFont="1" applyFill="1" applyBorder="1" applyAlignment="1">
      <alignment horizontal="right" vertical="center"/>
    </xf>
    <xf numFmtId="1" fontId="11" fillId="9" borderId="12" xfId="0" applyNumberFormat="1" applyFont="1" applyFill="1" applyBorder="1" applyAlignment="1">
      <alignment horizontal="right" vertical="center"/>
    </xf>
    <xf numFmtId="1" fontId="11" fillId="10" borderId="9" xfId="0" applyNumberFormat="1" applyFont="1" applyFill="1" applyBorder="1" applyAlignment="1">
      <alignment horizontal="right" vertical="center"/>
    </xf>
    <xf numFmtId="1" fontId="11" fillId="10" borderId="8" xfId="0" applyNumberFormat="1" applyFont="1" applyFill="1" applyBorder="1" applyAlignment="1">
      <alignment horizontal="right" vertical="center"/>
    </xf>
    <xf numFmtId="1" fontId="11" fillId="10" borderId="10" xfId="0" applyNumberFormat="1" applyFont="1" applyFill="1" applyBorder="1" applyAlignment="1">
      <alignment horizontal="right" vertical="center"/>
    </xf>
    <xf numFmtId="1" fontId="11" fillId="10" borderId="12" xfId="0" applyNumberFormat="1" applyFont="1" applyFill="1" applyBorder="1" applyAlignment="1">
      <alignment horizontal="right" vertical="center"/>
    </xf>
    <xf numFmtId="1" fontId="11" fillId="0" borderId="0" xfId="0" applyNumberFormat="1" applyFont="1" applyAlignment="1">
      <alignment horizontal="left" vertical="center"/>
    </xf>
    <xf numFmtId="1" fontId="11" fillId="10" borderId="4" xfId="0" applyNumberFormat="1" applyFont="1" applyFill="1" applyBorder="1" applyAlignment="1">
      <alignment horizontal="right" vertical="center"/>
    </xf>
    <xf numFmtId="1" fontId="11" fillId="10" borderId="3" xfId="0" applyNumberFormat="1" applyFont="1" applyFill="1" applyBorder="1" applyAlignment="1">
      <alignment horizontal="right" vertical="center"/>
    </xf>
    <xf numFmtId="1" fontId="30" fillId="0" borderId="0" xfId="0" applyNumberFormat="1" applyFont="1" applyAlignment="1">
      <alignment horizontal="left" vertical="center"/>
    </xf>
    <xf numFmtId="1" fontId="7" fillId="0" borderId="0" xfId="0" applyNumberFormat="1" applyFont="1" applyAlignment="1">
      <alignment horizontal="left"/>
    </xf>
    <xf numFmtId="1" fontId="26" fillId="0" borderId="0" xfId="0" applyNumberFormat="1" applyFont="1" applyAlignment="1">
      <alignment horizontal="left"/>
    </xf>
    <xf numFmtId="1" fontId="14" fillId="0" borderId="0" xfId="0" applyNumberFormat="1" applyFont="1" applyAlignment="1">
      <alignment horizontal="left" vertical="center" wrapText="1"/>
    </xf>
    <xf numFmtId="1" fontId="14" fillId="0" borderId="0" xfId="0" applyNumberFormat="1" applyFont="1" applyAlignment="1">
      <alignment horizontal="right" vertical="center"/>
    </xf>
    <xf numFmtId="1" fontId="14" fillId="0" borderId="0" xfId="0" applyNumberFormat="1" applyFont="1" applyAlignment="1">
      <alignment horizontal="right" vertical="center" wrapText="1"/>
    </xf>
    <xf numFmtId="1" fontId="7" fillId="0" borderId="0" xfId="0" applyNumberFormat="1" applyFont="1" applyAlignment="1">
      <alignment horizontal="left" vertical="center"/>
    </xf>
    <xf numFmtId="1" fontId="26" fillId="0" borderId="0" xfId="0" applyNumberFormat="1" applyFont="1" applyAlignment="1">
      <alignment horizontal="left" vertical="center"/>
    </xf>
    <xf numFmtId="1" fontId="15" fillId="0" borderId="6" xfId="0" applyNumberFormat="1" applyFont="1" applyBorder="1" applyAlignment="1">
      <alignment horizontal="right" vertical="center"/>
    </xf>
    <xf numFmtId="1" fontId="13" fillId="0" borderId="0" xfId="0" applyNumberFormat="1" applyFont="1" applyAlignment="1">
      <alignment horizontal="left" vertical="center"/>
    </xf>
    <xf numFmtId="1" fontId="14" fillId="0" borderId="0" xfId="0" applyNumberFormat="1" applyFont="1" applyAlignment="1">
      <alignment horizontal="left" vertical="center"/>
    </xf>
    <xf numFmtId="1" fontId="11" fillId="0" borderId="0" xfId="0" applyNumberFormat="1" applyFont="1" applyAlignment="1">
      <alignment horizontal="right" vertical="center" wrapText="1"/>
    </xf>
    <xf numFmtId="1" fontId="26" fillId="0" borderId="0" xfId="0" applyNumberFormat="1" applyFont="1" applyAlignment="1">
      <alignment horizontal="left" vertical="center" wrapText="1"/>
    </xf>
    <xf numFmtId="1" fontId="15" fillId="0" borderId="9" xfId="0" applyNumberFormat="1" applyFont="1" applyFill="1" applyBorder="1" applyAlignment="1">
      <alignment horizontal="right" vertical="center" wrapText="1"/>
    </xf>
    <xf numFmtId="1" fontId="15" fillId="0" borderId="8" xfId="0" applyNumberFormat="1" applyFont="1" applyFill="1" applyBorder="1" applyAlignment="1">
      <alignment horizontal="right" vertical="center" wrapText="1"/>
    </xf>
    <xf numFmtId="1" fontId="11" fillId="9" borderId="9" xfId="0" applyNumberFormat="1" applyFont="1" applyFill="1" applyBorder="1" applyAlignment="1">
      <alignment horizontal="right" vertical="center" wrapText="1"/>
    </xf>
    <xf numFmtId="1" fontId="11" fillId="9" borderId="8" xfId="0" applyNumberFormat="1" applyFont="1" applyFill="1" applyBorder="1" applyAlignment="1">
      <alignment horizontal="right" vertical="center" wrapText="1"/>
    </xf>
    <xf numFmtId="1" fontId="11" fillId="9" borderId="10" xfId="0" applyNumberFormat="1" applyFont="1" applyFill="1" applyBorder="1" applyAlignment="1">
      <alignment horizontal="right" vertical="center" wrapText="1"/>
    </xf>
    <xf numFmtId="1" fontId="11" fillId="9" borderId="12" xfId="0" applyNumberFormat="1" applyFont="1" applyFill="1" applyBorder="1" applyAlignment="1">
      <alignment horizontal="right" vertical="center" wrapText="1"/>
    </xf>
    <xf numFmtId="1" fontId="11" fillId="9" borderId="4" xfId="0" applyNumberFormat="1" applyFont="1" applyFill="1" applyBorder="1" applyAlignment="1">
      <alignment horizontal="right" vertical="center" wrapText="1"/>
    </xf>
    <xf numFmtId="1" fontId="11" fillId="9" borderId="3" xfId="2" applyNumberFormat="1" applyFont="1" applyFill="1" applyBorder="1" applyAlignment="1">
      <alignment horizontal="right" vertical="center" wrapText="1"/>
    </xf>
    <xf numFmtId="1" fontId="11" fillId="10" borderId="10" xfId="0" applyNumberFormat="1" applyFont="1" applyFill="1" applyBorder="1" applyAlignment="1">
      <alignment horizontal="right" vertical="center" wrapText="1"/>
    </xf>
    <xf numFmtId="1" fontId="11" fillId="10" borderId="12" xfId="0" applyNumberFormat="1" applyFont="1" applyFill="1" applyBorder="1" applyAlignment="1">
      <alignment horizontal="right" vertical="center" wrapText="1"/>
    </xf>
    <xf numFmtId="1" fontId="13" fillId="0" borderId="0" xfId="1" applyNumberFormat="1" applyFont="1" applyAlignment="1">
      <alignment horizontal="right" vertical="center" wrapText="1"/>
    </xf>
    <xf numFmtId="1" fontId="11" fillId="14" borderId="9" xfId="0" applyNumberFormat="1" applyFont="1" applyFill="1" applyBorder="1" applyAlignment="1">
      <alignment horizontal="right" vertical="center" wrapText="1"/>
    </xf>
    <xf numFmtId="1" fontId="11" fillId="14" borderId="8" xfId="0" applyNumberFormat="1" applyFont="1" applyFill="1" applyBorder="1" applyAlignment="1">
      <alignment horizontal="right" vertical="center" wrapText="1"/>
    </xf>
    <xf numFmtId="1" fontId="11" fillId="14" borderId="10" xfId="0" applyNumberFormat="1" applyFont="1" applyFill="1" applyBorder="1" applyAlignment="1">
      <alignment horizontal="right" vertical="center" wrapText="1"/>
    </xf>
    <xf numFmtId="1" fontId="11" fillId="14" borderId="12" xfId="0" applyNumberFormat="1" applyFont="1" applyFill="1" applyBorder="1" applyAlignment="1">
      <alignment horizontal="right" vertical="center" wrapText="1"/>
    </xf>
    <xf numFmtId="1" fontId="11" fillId="14" borderId="4" xfId="0" applyNumberFormat="1" applyFont="1" applyFill="1" applyBorder="1" applyAlignment="1">
      <alignment horizontal="right" vertical="center" wrapText="1"/>
    </xf>
    <xf numFmtId="1" fontId="11" fillId="14" borderId="3" xfId="0" applyNumberFormat="1" applyFont="1" applyFill="1" applyBorder="1" applyAlignment="1">
      <alignment horizontal="right" vertical="center" wrapText="1"/>
    </xf>
    <xf numFmtId="1" fontId="11" fillId="0" borderId="0" xfId="0" applyNumberFormat="1" applyFont="1" applyAlignment="1">
      <alignment horizontal="left" vertical="center" wrapText="1"/>
    </xf>
    <xf numFmtId="1" fontId="7" fillId="0" borderId="0" xfId="0" applyNumberFormat="1" applyFont="1" applyAlignment="1">
      <alignment horizontal="left" vertical="center" wrapText="1"/>
    </xf>
    <xf numFmtId="1" fontId="15" fillId="0" borderId="1" xfId="0" applyNumberFormat="1" applyFont="1" applyBorder="1" applyAlignment="1">
      <alignment horizontal="right" vertical="center" wrapText="1"/>
    </xf>
    <xf numFmtId="1" fontId="11" fillId="10" borderId="4" xfId="0" applyNumberFormat="1" applyFont="1" applyFill="1" applyBorder="1" applyAlignment="1">
      <alignment horizontal="right" vertical="center" wrapText="1"/>
    </xf>
    <xf numFmtId="0" fontId="11" fillId="0" borderId="0" xfId="0" applyFont="1"/>
    <xf numFmtId="0" fontId="15" fillId="0" borderId="0" xfId="0" applyFont="1"/>
    <xf numFmtId="0" fontId="39" fillId="0" borderId="0" xfId="0" applyFont="1"/>
    <xf numFmtId="0" fontId="11" fillId="0" borderId="0" xfId="0" applyFont="1" applyBorder="1" applyAlignment="1">
      <alignment horizontal="left" vertical="center"/>
    </xf>
    <xf numFmtId="0" fontId="39" fillId="0" borderId="0" xfId="0" applyFont="1" applyAlignment="1">
      <alignment horizontal="left"/>
    </xf>
    <xf numFmtId="0" fontId="11" fillId="0" borderId="0" xfId="0" applyFont="1" applyAlignment="1">
      <alignment wrapText="1"/>
    </xf>
    <xf numFmtId="0" fontId="11" fillId="0" borderId="0" xfId="0" applyFont="1" applyAlignment="1">
      <alignment vertical="center"/>
    </xf>
    <xf numFmtId="0" fontId="41" fillId="0" borderId="0" xfId="0" applyFont="1" applyAlignment="1">
      <alignment vertical="center"/>
    </xf>
    <xf numFmtId="0" fontId="39" fillId="0" borderId="0" xfId="0" applyFont="1" applyAlignment="1">
      <alignment horizontal="left" vertical="center"/>
    </xf>
    <xf numFmtId="0" fontId="42" fillId="0" borderId="0" xfId="0" applyFont="1" applyAlignment="1">
      <alignment vertical="center"/>
    </xf>
    <xf numFmtId="0" fontId="11" fillId="0" borderId="0" xfId="0" applyFont="1" applyBorder="1"/>
    <xf numFmtId="0" fontId="11" fillId="0" borderId="0" xfId="0" applyFont="1" applyBorder="1" applyAlignment="1">
      <alignment wrapText="1"/>
    </xf>
    <xf numFmtId="0" fontId="45" fillId="0" borderId="0" xfId="5" applyFont="1" applyAlignment="1">
      <alignment vertical="center"/>
    </xf>
    <xf numFmtId="0" fontId="46" fillId="0" borderId="0" xfId="5" applyFont="1" applyAlignment="1">
      <alignment vertical="center"/>
    </xf>
    <xf numFmtId="0" fontId="11" fillId="10" borderId="1" xfId="0" applyFont="1" applyFill="1" applyBorder="1" applyAlignment="1">
      <alignment wrapText="1"/>
    </xf>
    <xf numFmtId="0" fontId="11" fillId="15" borderId="1" xfId="0" applyFont="1" applyFill="1" applyBorder="1" applyAlignment="1">
      <alignment wrapText="1"/>
    </xf>
    <xf numFmtId="0" fontId="11" fillId="13" borderId="1" xfId="0" applyFont="1" applyFill="1" applyBorder="1" applyAlignment="1">
      <alignment wrapText="1"/>
    </xf>
    <xf numFmtId="0" fontId="11" fillId="14" borderId="1" xfId="0" applyFont="1" applyFill="1" applyBorder="1" applyAlignment="1">
      <alignment wrapText="1"/>
    </xf>
    <xf numFmtId="0" fontId="11" fillId="16" borderId="1" xfId="0" applyFont="1" applyFill="1" applyBorder="1" applyAlignment="1">
      <alignment wrapText="1"/>
    </xf>
    <xf numFmtId="0" fontId="43" fillId="0" borderId="0" xfId="0" applyFont="1" applyAlignment="1">
      <alignment horizontal="right" wrapText="1"/>
    </xf>
    <xf numFmtId="0" fontId="15" fillId="0" borderId="0" xfId="0" applyFont="1" applyBorder="1" applyAlignment="1">
      <alignment horizontal="right" wrapText="1"/>
    </xf>
    <xf numFmtId="14" fontId="44" fillId="0" borderId="0" xfId="0" applyNumberFormat="1" applyFont="1" applyBorder="1" applyAlignment="1">
      <alignment horizontal="right" vertical="center" wrapText="1"/>
    </xf>
    <xf numFmtId="0" fontId="15" fillId="0" borderId="0" xfId="0" applyFont="1" applyAlignment="1">
      <alignment horizontal="right" wrapText="1"/>
    </xf>
    <xf numFmtId="0" fontId="11" fillId="0" borderId="0" xfId="0" applyFont="1" applyAlignment="1">
      <alignment horizontal="right" wrapText="1"/>
    </xf>
    <xf numFmtId="14" fontId="11" fillId="0" borderId="0" xfId="0" applyNumberFormat="1" applyFont="1" applyBorder="1" applyAlignment="1">
      <alignment horizontal="left" vertical="center"/>
    </xf>
    <xf numFmtId="14" fontId="29" fillId="0" borderId="0" xfId="0" applyNumberFormat="1" applyFont="1"/>
    <xf numFmtId="0" fontId="11" fillId="0" borderId="0" xfId="0" applyFont="1" applyFill="1" applyBorder="1" applyAlignment="1">
      <alignment wrapText="1"/>
    </xf>
    <xf numFmtId="0" fontId="47" fillId="0" borderId="0" xfId="0" applyFont="1" applyBorder="1" applyAlignment="1">
      <alignment horizontal="left" vertical="center"/>
    </xf>
    <xf numFmtId="0" fontId="15" fillId="4" borderId="16" xfId="0" applyFont="1" applyFill="1" applyBorder="1" applyAlignment="1">
      <alignment horizontal="center" wrapText="1"/>
    </xf>
    <xf numFmtId="0" fontId="11" fillId="0" borderId="0" xfId="0" applyFont="1" applyAlignment="1"/>
    <xf numFmtId="9" fontId="24" fillId="0" borderId="8" xfId="0" applyNumberFormat="1" applyFont="1" applyFill="1" applyBorder="1" applyAlignment="1" applyProtection="1">
      <alignment horizontal="center" vertical="center" wrapText="1"/>
      <protection locked="0"/>
    </xf>
    <xf numFmtId="1" fontId="30" fillId="0" borderId="0" xfId="0" applyNumberFormat="1" applyFont="1" applyFill="1" applyAlignment="1">
      <alignment horizontal="left" vertical="center"/>
    </xf>
    <xf numFmtId="1" fontId="48" fillId="0" borderId="0" xfId="0" applyNumberFormat="1" applyFont="1"/>
    <xf numFmtId="1" fontId="15" fillId="0" borderId="1" xfId="0" applyNumberFormat="1" applyFont="1" applyBorder="1" applyAlignment="1">
      <alignment horizontal="center" vertical="center"/>
    </xf>
    <xf numFmtId="1" fontId="15" fillId="0" borderId="5" xfId="0" applyNumberFormat="1" applyFont="1" applyFill="1" applyBorder="1" applyAlignment="1">
      <alignment horizontal="center" vertical="center" wrapText="1"/>
    </xf>
    <xf numFmtId="0" fontId="13" fillId="0" borderId="2" xfId="0" applyFont="1" applyBorder="1" applyAlignment="1">
      <alignment horizontal="right" vertical="center"/>
    </xf>
    <xf numFmtId="0" fontId="13" fillId="0" borderId="4" xfId="0" applyFont="1" applyBorder="1" applyAlignment="1">
      <alignment horizontal="right" vertical="center"/>
    </xf>
    <xf numFmtId="0" fontId="13" fillId="0" borderId="0" xfId="0" applyFont="1" applyAlignment="1" applyProtection="1">
      <alignment horizontal="right" vertical="center"/>
      <protection locked="0"/>
    </xf>
    <xf numFmtId="0" fontId="7" fillId="0" borderId="0" xfId="0" applyFont="1" applyAlignment="1" applyProtection="1">
      <alignment wrapText="1"/>
      <protection locked="0"/>
    </xf>
    <xf numFmtId="0" fontId="13" fillId="0" borderId="0" xfId="0" applyFont="1" applyAlignment="1" applyProtection="1">
      <alignment wrapText="1"/>
      <protection locked="0"/>
    </xf>
    <xf numFmtId="0" fontId="25" fillId="0" borderId="0" xfId="0" applyFont="1" applyAlignment="1" applyProtection="1">
      <alignment wrapText="1"/>
      <protection locked="0"/>
    </xf>
    <xf numFmtId="0" fontId="16" fillId="0" borderId="0" xfId="0" applyFont="1" applyAlignment="1" applyProtection="1">
      <alignment wrapText="1"/>
      <protection locked="0"/>
    </xf>
    <xf numFmtId="0" fontId="0" fillId="0" borderId="0" xfId="0" applyProtection="1">
      <protection locked="0"/>
    </xf>
    <xf numFmtId="0" fontId="23" fillId="0" borderId="0" xfId="5" applyFont="1" applyFill="1" applyBorder="1" applyAlignment="1" applyProtection="1">
      <alignment horizontal="center" vertical="center" wrapText="1"/>
      <protection locked="0"/>
    </xf>
    <xf numFmtId="0" fontId="19" fillId="0" borderId="0" xfId="0" applyFont="1" applyAlignment="1" applyProtection="1">
      <alignment wrapText="1"/>
      <protection locked="0"/>
    </xf>
    <xf numFmtId="0" fontId="13" fillId="0" borderId="0" xfId="0" applyFont="1" applyAlignment="1" applyProtection="1">
      <alignment horizontal="right" vertical="center" wrapText="1"/>
      <protection locked="0"/>
    </xf>
    <xf numFmtId="0" fontId="23" fillId="2" borderId="2" xfId="4" applyFont="1" applyFill="1" applyBorder="1" applyAlignment="1" applyProtection="1">
      <alignment horizontal="center" vertical="center" wrapText="1"/>
      <protection locked="0"/>
    </xf>
    <xf numFmtId="0" fontId="23" fillId="2" borderId="3" xfId="4" applyFont="1" applyFill="1" applyBorder="1" applyAlignment="1" applyProtection="1">
      <alignment horizontal="center" vertical="center" wrapText="1"/>
      <protection locked="0"/>
    </xf>
    <xf numFmtId="9" fontId="23" fillId="2" borderId="3" xfId="4" applyNumberFormat="1" applyFont="1" applyFill="1" applyBorder="1" applyAlignment="1" applyProtection="1">
      <alignment horizontal="center" vertical="center" wrapText="1"/>
      <protection locked="0"/>
    </xf>
    <xf numFmtId="0" fontId="23" fillId="2" borderId="4" xfId="4" applyFont="1" applyFill="1" applyBorder="1" applyAlignment="1" applyProtection="1">
      <alignment horizontal="center" vertical="center" wrapText="1"/>
      <protection locked="0"/>
    </xf>
    <xf numFmtId="0" fontId="13" fillId="0" borderId="6" xfId="0" applyFont="1" applyBorder="1" applyAlignment="1" applyProtection="1">
      <alignment horizontal="left" vertical="center" wrapText="1"/>
      <protection locked="0"/>
    </xf>
    <xf numFmtId="0" fontId="13" fillId="0" borderId="0" xfId="0" applyFont="1" applyAlignment="1" applyProtection="1">
      <alignment horizontal="left" vertical="center" wrapText="1"/>
    </xf>
    <xf numFmtId="0" fontId="13" fillId="0" borderId="0" xfId="0" applyFont="1" applyAlignment="1" applyProtection="1">
      <alignment wrapText="1"/>
    </xf>
    <xf numFmtId="0" fontId="0" fillId="0" borderId="0" xfId="0" applyProtection="1"/>
    <xf numFmtId="0" fontId="23" fillId="2" borderId="3" xfId="4" applyFont="1" applyFill="1" applyBorder="1" applyAlignment="1" applyProtection="1">
      <alignment horizontal="center" vertical="center" wrapText="1"/>
    </xf>
    <xf numFmtId="0" fontId="13" fillId="0" borderId="1" xfId="0" applyNumberFormat="1" applyFont="1" applyBorder="1" applyAlignment="1" applyProtection="1">
      <alignment horizontal="left" vertical="center" wrapText="1"/>
    </xf>
    <xf numFmtId="14" fontId="46" fillId="0" borderId="0" xfId="5" applyNumberFormat="1" applyFont="1" applyBorder="1" applyAlignment="1">
      <alignment horizontal="left" vertical="center"/>
    </xf>
    <xf numFmtId="1" fontId="11" fillId="9" borderId="8" xfId="0" applyNumberFormat="1" applyFont="1" applyFill="1" applyBorder="1" applyAlignment="1">
      <alignment horizontal="center" vertical="center"/>
    </xf>
    <xf numFmtId="1" fontId="11" fillId="9" borderId="12" xfId="0" applyNumberFormat="1" applyFont="1" applyFill="1" applyBorder="1" applyAlignment="1">
      <alignment horizontal="center" vertical="center"/>
    </xf>
    <xf numFmtId="1" fontId="11" fillId="10" borderId="8" xfId="0" applyNumberFormat="1" applyFont="1" applyFill="1" applyBorder="1" applyAlignment="1">
      <alignment horizontal="center" vertical="center"/>
    </xf>
    <xf numFmtId="1" fontId="11" fillId="10" borderId="12" xfId="0" applyNumberFormat="1" applyFont="1" applyFill="1" applyBorder="1" applyAlignment="1">
      <alignment horizontal="center" vertical="center"/>
    </xf>
    <xf numFmtId="1" fontId="11" fillId="10" borderId="3" xfId="0" applyNumberFormat="1" applyFont="1" applyFill="1" applyBorder="1" applyAlignment="1">
      <alignment horizontal="center" vertical="center"/>
    </xf>
    <xf numFmtId="1" fontId="11" fillId="14" borderId="7" xfId="0" applyNumberFormat="1" applyFont="1" applyFill="1" applyBorder="1" applyAlignment="1">
      <alignment horizontal="center" vertical="center" wrapText="1"/>
    </xf>
    <xf numFmtId="1" fontId="11" fillId="14" borderId="11" xfId="0" applyNumberFormat="1" applyFont="1" applyFill="1" applyBorder="1" applyAlignment="1">
      <alignment horizontal="center" vertical="center" wrapText="1"/>
    </xf>
    <xf numFmtId="1" fontId="11" fillId="14" borderId="2" xfId="0" applyNumberFormat="1" applyFont="1" applyFill="1" applyBorder="1" applyAlignment="1">
      <alignment horizontal="center" vertical="center" wrapText="1"/>
    </xf>
    <xf numFmtId="1" fontId="11" fillId="9" borderId="7" xfId="0" applyNumberFormat="1" applyFont="1" applyFill="1" applyBorder="1" applyAlignment="1">
      <alignment horizontal="center" vertical="center" wrapText="1"/>
    </xf>
    <xf numFmtId="1" fontId="11" fillId="9" borderId="11" xfId="0" applyNumberFormat="1" applyFont="1" applyFill="1" applyBorder="1" applyAlignment="1">
      <alignment horizontal="center" vertical="center" wrapText="1"/>
    </xf>
    <xf numFmtId="1" fontId="11" fillId="9" borderId="2" xfId="0" applyNumberFormat="1" applyFont="1" applyFill="1" applyBorder="1" applyAlignment="1">
      <alignment horizontal="center" vertical="center" wrapText="1"/>
    </xf>
    <xf numFmtId="1" fontId="11" fillId="10" borderId="8" xfId="0" applyNumberFormat="1" applyFont="1" applyFill="1" applyBorder="1" applyAlignment="1">
      <alignment horizontal="center" vertical="center" wrapText="1"/>
    </xf>
    <xf numFmtId="1" fontId="11" fillId="10" borderId="12" xfId="0" applyNumberFormat="1" applyFont="1" applyFill="1" applyBorder="1" applyAlignment="1">
      <alignment horizontal="center" vertical="center" wrapText="1"/>
    </xf>
    <xf numFmtId="1" fontId="11"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28">
    <dxf>
      <numFmt numFmtId="167" formatCode="&quot;$&quot;#,##0.00"/>
    </dxf>
    <dxf>
      <numFmt numFmtId="13" formatCode="0%"/>
    </dxf>
    <dxf>
      <numFmt numFmtId="2" formatCode="0.00"/>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border>
        <left/>
        <right/>
        <top/>
        <bottom/>
      </border>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border>
        <left/>
        <right/>
        <top/>
        <bottom/>
      </border>
    </dxf>
    <dxf>
      <font>
        <b/>
        <i val="0"/>
      </font>
    </dxf>
    <dxf>
      <font>
        <b/>
        <i val="0"/>
      </font>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dxf>
    <dxf>
      <font>
        <b/>
        <i val="0"/>
      </font>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dxf>
    <dxf>
      <font>
        <b/>
        <i val="0"/>
      </font>
      <border>
        <left/>
        <right/>
        <top/>
        <bottom/>
        <vertical/>
        <horizontal/>
      </border>
    </dxf>
    <dxf>
      <font>
        <color rgb="FFCCDC00"/>
      </font>
      <fill>
        <patternFill>
          <bgColor rgb="FF005172"/>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0"/>
      </font>
      <fill>
        <patternFill>
          <bgColor rgb="FFC00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fill>
        <patternFill>
          <bgColor theme="0"/>
        </patternFill>
      </fill>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border diagonalUp="0" diagonalDown="0" outline="0">
        <left style="thin">
          <color indexed="64"/>
        </left>
        <right/>
        <top style="thin">
          <color indexed="64"/>
        </top>
        <bottom style="thin">
          <color indexed="64"/>
        </bottom>
      </border>
    </dxf>
    <dxf>
      <font>
        <strike val="0"/>
        <outline val="0"/>
        <shadow val="0"/>
        <u val="none"/>
        <vertAlign val="baseline"/>
        <sz val="9"/>
        <name val="Arial"/>
        <family val="2"/>
        <scheme val="none"/>
      </font>
      <numFmt numFmtId="167" formatCode="&quot;$&quot;#,##0.0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val="0"/>
        <strike val="0"/>
        <condense val="0"/>
        <extend val="0"/>
        <outline val="0"/>
        <shadow val="0"/>
        <u val="none"/>
        <vertAlign val="baseline"/>
        <sz val="9"/>
        <color theme="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thin">
          <color indexed="64"/>
        </top>
        <bottom/>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center" vertical="center" textRotation="0" indent="0" justifyLastLine="0" shrinkToFit="0" readingOrder="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1"/>
    </dxf>
    <dxf>
      <font>
        <strike val="0"/>
        <outline val="0"/>
        <shadow val="0"/>
        <u val="none"/>
        <vertAlign val="baseline"/>
        <sz val="11"/>
        <color theme="0"/>
        <name val="Calibri"/>
        <family val="2"/>
        <scheme val="minor"/>
      </font>
      <numFmt numFmtId="19" formatCode="yyyy/mm/dd"/>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6F6F6F"/>
      <color rgb="FF686868"/>
      <color rgb="FF606060"/>
      <color rgb="FFFFFFFF"/>
      <color rgb="FFCCDC00"/>
      <color rgb="FF005172"/>
      <color rgb="FFFF3399"/>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 Id="rId27"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AnnualStakeholderCounts"/><Relationship Id="rId2" Type="http://schemas.openxmlformats.org/officeDocument/2006/relationships/hyperlink" Target="#ActivityLanding"/><Relationship Id="rId1" Type="http://schemas.openxmlformats.org/officeDocument/2006/relationships/hyperlink" Target="#InitiativeDetailsLanding"/></Relationships>
</file>

<file path=xl/drawings/_rels/drawing4.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SBLLanding"/><Relationship Id="rId7" Type="http://schemas.openxmlformats.org/officeDocument/2006/relationships/hyperlink" Target="#Custom_Labour"/><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hyperlink" Target="#ImpactsByStakeholderLanding"/><Relationship Id="rId11" Type="http://schemas.openxmlformats.org/officeDocument/2006/relationships/hyperlink" Target="#CostBenefitStatementLanding"/><Relationship Id="rId5" Type="http://schemas.openxmlformats.org/officeDocument/2006/relationships/hyperlink" Target="#ImpactsByActivityLanding"/><Relationship Id="rId10" Type="http://schemas.openxmlformats.org/officeDocument/2006/relationships/hyperlink" Target="#ImpactByActivityAndStakeholderLanding"/><Relationship Id="rId4" Type="http://schemas.openxmlformats.org/officeDocument/2006/relationships/hyperlink" Target="#ImpactsLanding"/><Relationship Id="rId9" Type="http://schemas.openxmlformats.org/officeDocument/2006/relationships/image" Target="../media/image3.svg"/></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0.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1.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2.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3.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5.xml.rels><?xml version="1.0" encoding="UTF-8" standalone="yes"?>
<Relationships xmlns="http://schemas.openxmlformats.org/package/2006/relationships"><Relationship Id="rId1" Type="http://schemas.openxmlformats.org/officeDocument/2006/relationships/hyperlink" Target="#FormulasLanding"/></Relationships>
</file>

<file path=xl/drawings/_rels/drawing16.xml.rels><?xml version="1.0" encoding="UTF-8" standalone="yes"?>
<Relationships xmlns="http://schemas.openxmlformats.org/package/2006/relationships"><Relationship Id="rId1" Type="http://schemas.openxmlformats.org/officeDocument/2006/relationships/hyperlink" Target="#FullOutputLanding"/></Relationships>
</file>

<file path=xl/drawings/drawing1.xml><?xml version="1.0" encoding="utf-8"?>
<xdr:wsDr xmlns:xdr="http://schemas.openxmlformats.org/drawingml/2006/spreadsheetDrawing" xmlns:a="http://schemas.openxmlformats.org/drawingml/2006/main">
  <xdr:twoCellAnchor editAs="oneCell">
    <xdr:from>
      <xdr:col>0</xdr:col>
      <xdr:colOff>86546</xdr:colOff>
      <xdr:row>0</xdr:row>
      <xdr:rowOff>78803</xdr:rowOff>
    </xdr:from>
    <xdr:to>
      <xdr:col>15</xdr:col>
      <xdr:colOff>437509</xdr:colOff>
      <xdr:row>13</xdr:row>
      <xdr:rowOff>9135</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86546" y="78803"/>
          <a:ext cx="11215416" cy="201987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30916</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3489038</xdr:colOff>
      <xdr:row>19</xdr:row>
      <xdr:rowOff>99424</xdr:rowOff>
    </xdr:from>
    <xdr:to>
      <xdr:col>4</xdr:col>
      <xdr:colOff>478037</xdr:colOff>
      <xdr:row>21</xdr:row>
      <xdr:rowOff>99158</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6951168" y="4721120"/>
          <a:ext cx="2322999" cy="380734"/>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820999</xdr:colOff>
      <xdr:row>11</xdr:row>
      <xdr:rowOff>116417</xdr:rowOff>
    </xdr:from>
    <xdr:to>
      <xdr:col>2</xdr:col>
      <xdr:colOff>229835</xdr:colOff>
      <xdr:row>14</xdr:row>
      <xdr:rowOff>56091</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45097" y="1354667"/>
          <a:ext cx="2372077" cy="39243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255741</xdr:colOff>
      <xdr:row>11</xdr:row>
      <xdr:rowOff>131724</xdr:rowOff>
    </xdr:from>
    <xdr:to>
      <xdr:col>10</xdr:col>
      <xdr:colOff>1205739</xdr:colOff>
      <xdr:row>14</xdr:row>
      <xdr:rowOff>60022</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1728019" y="1880947"/>
          <a:ext cx="2294106" cy="41017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4</xdr:col>
      <xdr:colOff>1116130</xdr:colOff>
      <xdr:row>12</xdr:row>
      <xdr:rowOff>59575</xdr:rowOff>
    </xdr:from>
    <xdr:to>
      <xdr:col>6</xdr:col>
      <xdr:colOff>784282</xdr:colOff>
      <xdr:row>13</xdr:row>
      <xdr:rowOff>115808</xdr:rowOff>
    </xdr:to>
    <xdr:sp macro="" textlink="">
      <xdr:nvSpPr>
        <xdr:cNvPr id="21" name="Rectangle 20">
          <a:hlinkClick xmlns:r="http://schemas.openxmlformats.org/officeDocument/2006/relationships" r:id="rId3"/>
          <a:extLst>
            <a:ext uri="{FF2B5EF4-FFF2-40B4-BE49-F238E27FC236}">
              <a16:creationId xmlns:a16="http://schemas.microsoft.com/office/drawing/2014/main" id="{00000000-0008-0000-0200-000015000000}"/>
            </a:ext>
          </a:extLst>
        </xdr:cNvPr>
        <xdr:cNvSpPr/>
      </xdr:nvSpPr>
      <xdr:spPr>
        <a:xfrm rot="10800000" flipH="1" flipV="1">
          <a:off x="6446874" y="1965614"/>
          <a:ext cx="2323481" cy="219717"/>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twoCellAnchor editAs="absolute">
    <xdr:from>
      <xdr:col>1</xdr:col>
      <xdr:colOff>35260</xdr:colOff>
      <xdr:row>3</xdr:row>
      <xdr:rowOff>0</xdr:rowOff>
    </xdr:from>
    <xdr:to>
      <xdr:col>5</xdr:col>
      <xdr:colOff>812362</xdr:colOff>
      <xdr:row>7</xdr:row>
      <xdr:rowOff>93451</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85112" y="510886"/>
          <a:ext cx="6700252" cy="729289"/>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97384</xdr:colOff>
      <xdr:row>9</xdr:row>
      <xdr:rowOff>136014</xdr:rowOff>
    </xdr:from>
    <xdr:to>
      <xdr:col>2</xdr:col>
      <xdr:colOff>591742</xdr:colOff>
      <xdr:row>12</xdr:row>
      <xdr:rowOff>115259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13664" y="1539047"/>
          <a:ext cx="2522931" cy="43200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a:t>
          </a:r>
          <a:r>
            <a:rPr lang="en-CA" sz="900" b="1">
              <a:solidFill>
                <a:schemeClr val="tx1"/>
              </a:solidFill>
              <a:latin typeface="Arial" panose="020B0604020202020204" pitchFamily="34" charset="0"/>
              <a:cs typeface="Arial" panose="020B0604020202020204" pitchFamily="34" charset="0"/>
            </a:rPr>
            <a:t>Stakeholder</a:t>
          </a:r>
          <a:r>
            <a:rPr lang="en-CA" sz="1000" b="1">
              <a:solidFill>
                <a:schemeClr val="tx1"/>
              </a:solidFill>
              <a:latin typeface="Arial" panose="020B0604020202020204" pitchFamily="34" charset="0"/>
              <a:cs typeface="Arial" panose="020B0604020202020204" pitchFamily="34" charset="0"/>
            </a:rPr>
            <a:t> Profile</a:t>
          </a:r>
        </a:p>
      </xdr:txBody>
    </xdr:sp>
    <xdr:clientData/>
  </xdr:twoCellAnchor>
  <xdr:twoCellAnchor editAs="absolute">
    <xdr:from>
      <xdr:col>2</xdr:col>
      <xdr:colOff>765504</xdr:colOff>
      <xdr:row>10</xdr:row>
      <xdr:rowOff>95821</xdr:rowOff>
    </xdr:from>
    <xdr:to>
      <xdr:col>5</xdr:col>
      <xdr:colOff>765019</xdr:colOff>
      <xdr:row>12</xdr:row>
      <xdr:rowOff>21730</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xdr:nvSpPr>
      <xdr:spPr>
        <a:xfrm rot="10800000" flipH="1" flipV="1">
          <a:off x="3533357" y="1776703"/>
          <a:ext cx="2151044" cy="239674"/>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endPar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absolute">
    <xdr:from>
      <xdr:col>5</xdr:col>
      <xdr:colOff>892855</xdr:colOff>
      <xdr:row>10</xdr:row>
      <xdr:rowOff>93124</xdr:rowOff>
    </xdr:from>
    <xdr:to>
      <xdr:col>7</xdr:col>
      <xdr:colOff>115776</xdr:colOff>
      <xdr:row>12</xdr:row>
      <xdr:rowOff>18150</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5812237" y="1781626"/>
          <a:ext cx="2136451" cy="238791"/>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7</xdr:col>
      <xdr:colOff>288425</xdr:colOff>
      <xdr:row>10</xdr:row>
      <xdr:rowOff>93595</xdr:rowOff>
    </xdr:from>
    <xdr:to>
      <xdr:col>10</xdr:col>
      <xdr:colOff>41754</xdr:colOff>
      <xdr:row>12</xdr:row>
      <xdr:rowOff>18621</xdr:rowOff>
    </xdr:to>
    <xdr:sp macro="" textlink="">
      <xdr:nvSpPr>
        <xdr:cNvPr id="12" name="Rectangle 11">
          <a:hlinkClick xmlns:r="http://schemas.openxmlformats.org/officeDocument/2006/relationships" r:id="rId4"/>
          <a:extLst>
            <a:ext uri="{FF2B5EF4-FFF2-40B4-BE49-F238E27FC236}">
              <a16:creationId xmlns:a16="http://schemas.microsoft.com/office/drawing/2014/main" id="{00000000-0008-0000-0300-00000C000000}"/>
            </a:ext>
          </a:extLst>
        </xdr:cNvPr>
        <xdr:cNvSpPr/>
      </xdr:nvSpPr>
      <xdr:spPr>
        <a:xfrm rot="10800000" flipH="1" flipV="1">
          <a:off x="8127052" y="1789717"/>
          <a:ext cx="2136451" cy="23879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a:t>
          </a:r>
        </a:p>
      </xdr:txBody>
    </xdr:sp>
    <xdr:clientData/>
  </xdr:twoCellAnchor>
  <xdr:twoCellAnchor editAs="absolute">
    <xdr:from>
      <xdr:col>10</xdr:col>
      <xdr:colOff>187129</xdr:colOff>
      <xdr:row>10</xdr:row>
      <xdr:rowOff>94440</xdr:rowOff>
    </xdr:from>
    <xdr:to>
      <xdr:col>13</xdr:col>
      <xdr:colOff>122101</xdr:colOff>
      <xdr:row>12</xdr:row>
      <xdr:rowOff>34706</xdr:rowOff>
    </xdr:to>
    <xdr:sp macro="" textlink="">
      <xdr:nvSpPr>
        <xdr:cNvPr id="13" name="Rectangle 12">
          <a:hlinkClick xmlns:r="http://schemas.openxmlformats.org/officeDocument/2006/relationships" r:id="rId5"/>
          <a:extLst>
            <a:ext uri="{FF2B5EF4-FFF2-40B4-BE49-F238E27FC236}">
              <a16:creationId xmlns:a16="http://schemas.microsoft.com/office/drawing/2014/main" id="{00000000-0008-0000-0300-00000D000000}"/>
            </a:ext>
          </a:extLst>
        </xdr:cNvPr>
        <xdr:cNvSpPr/>
      </xdr:nvSpPr>
      <xdr:spPr>
        <a:xfrm rot="10800000" flipH="1" flipV="1">
          <a:off x="10408494" y="1790562"/>
          <a:ext cx="2130605" cy="23879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a:t>
          </a:r>
        </a:p>
      </xdr:txBody>
    </xdr:sp>
    <xdr:clientData/>
  </xdr:twoCellAnchor>
  <xdr:twoCellAnchor editAs="absolute">
    <xdr:from>
      <xdr:col>13</xdr:col>
      <xdr:colOff>306699</xdr:colOff>
      <xdr:row>10</xdr:row>
      <xdr:rowOff>97678</xdr:rowOff>
    </xdr:from>
    <xdr:to>
      <xdr:col>16</xdr:col>
      <xdr:colOff>484025</xdr:colOff>
      <xdr:row>12</xdr:row>
      <xdr:rowOff>21736</xdr:rowOff>
    </xdr:to>
    <xdr:sp macro="" textlink="">
      <xdr:nvSpPr>
        <xdr:cNvPr id="14" name="Rectangle 13">
          <a:hlinkClick xmlns:r="http://schemas.openxmlformats.org/officeDocument/2006/relationships" r:id="rId6"/>
          <a:extLst>
            <a:ext uri="{FF2B5EF4-FFF2-40B4-BE49-F238E27FC236}">
              <a16:creationId xmlns:a16="http://schemas.microsoft.com/office/drawing/2014/main" id="{00000000-0008-0000-0300-00000E000000}"/>
            </a:ext>
          </a:extLst>
        </xdr:cNvPr>
        <xdr:cNvSpPr/>
      </xdr:nvSpPr>
      <xdr:spPr>
        <a:xfrm rot="10800000" flipH="1" flipV="1">
          <a:off x="12727299" y="1745503"/>
          <a:ext cx="2154444" cy="228858"/>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Stakeholder</a:t>
          </a:r>
        </a:p>
      </xdr:txBody>
    </xdr:sp>
    <xdr:clientData/>
  </xdr:twoCellAnchor>
  <xdr:twoCellAnchor editAs="absolute">
    <xdr:from>
      <xdr:col>20</xdr:col>
      <xdr:colOff>1049163</xdr:colOff>
      <xdr:row>10</xdr:row>
      <xdr:rowOff>95937</xdr:rowOff>
    </xdr:from>
    <xdr:to>
      <xdr:col>20</xdr:col>
      <xdr:colOff>3183753</xdr:colOff>
      <xdr:row>12</xdr:row>
      <xdr:rowOff>21846</xdr:rowOff>
    </xdr:to>
    <xdr:sp macro="" textlink="">
      <xdr:nvSpPr>
        <xdr:cNvPr id="15" name="Rectangle 14">
          <a:hlinkClick xmlns:r="http://schemas.openxmlformats.org/officeDocument/2006/relationships" r:id="rId7"/>
          <a:extLst>
            <a:ext uri="{FF2B5EF4-FFF2-40B4-BE49-F238E27FC236}">
              <a16:creationId xmlns:a16="http://schemas.microsoft.com/office/drawing/2014/main" id="{00000000-0008-0000-0300-00000F000000}"/>
            </a:ext>
          </a:extLst>
        </xdr:cNvPr>
        <xdr:cNvSpPr/>
      </xdr:nvSpPr>
      <xdr:spPr>
        <a:xfrm rot="10800000" flipH="1" flipV="1">
          <a:off x="19871773" y="1719328"/>
          <a:ext cx="2138400" cy="224083"/>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39475</xdr:colOff>
      <xdr:row>3</xdr:row>
      <xdr:rowOff>56728</xdr:rowOff>
    </xdr:from>
    <xdr:to>
      <xdr:col>6</xdr:col>
      <xdr:colOff>513369</xdr:colOff>
      <xdr:row>7</xdr:row>
      <xdr:rowOff>131870</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786130" y="565575"/>
          <a:ext cx="6018954" cy="663998"/>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editAs="oneCell">
    <xdr:from>
      <xdr:col>20</xdr:col>
      <xdr:colOff>0</xdr:colOff>
      <xdr:row>8</xdr:row>
      <xdr:rowOff>0</xdr:rowOff>
    </xdr:from>
    <xdr:to>
      <xdr:col>20</xdr:col>
      <xdr:colOff>304800</xdr:colOff>
      <xdr:row>9</xdr:row>
      <xdr:rowOff>114300</xdr:rowOff>
    </xdr:to>
    <xdr:sp macro="" textlink="">
      <xdr:nvSpPr>
        <xdr:cNvPr id="4097" name="AutoShape 1" descr="🤖">
          <a:extLst>
            <a:ext uri="{FF2B5EF4-FFF2-40B4-BE49-F238E27FC236}">
              <a16:creationId xmlns:a16="http://schemas.microsoft.com/office/drawing/2014/main" id="{F92D3D9B-D761-9BE8-DB18-C5B58BAC32DF}"/>
            </a:ext>
          </a:extLst>
        </xdr:cNvPr>
        <xdr:cNvSpPr>
          <a:spLocks noChangeAspect="1" noChangeArrowheads="1"/>
        </xdr:cNvSpPr>
      </xdr:nvSpPr>
      <xdr:spPr bwMode="auto">
        <a:xfrm>
          <a:off x="19840575" y="1304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20</xdr:col>
      <xdr:colOff>559010</xdr:colOff>
      <xdr:row>13</xdr:row>
      <xdr:rowOff>66886</xdr:rowOff>
    </xdr:from>
    <xdr:to>
      <xdr:col>20</xdr:col>
      <xdr:colOff>1056426</xdr:colOff>
      <xdr:row>13</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1637275" y="4168239"/>
          <a:ext cx="497416" cy="497416"/>
        </a:xfrm>
        <a:prstGeom prst="rect">
          <a:avLst/>
        </a:prstGeom>
      </xdr:spPr>
    </xdr:pic>
    <xdr:clientData/>
  </xdr:twoCellAnchor>
  <xdr:twoCellAnchor>
    <xdr:from>
      <xdr:col>20</xdr:col>
      <xdr:colOff>2547847</xdr:colOff>
      <xdr:row>13</xdr:row>
      <xdr:rowOff>74706</xdr:rowOff>
    </xdr:from>
    <xdr:to>
      <xdr:col>20</xdr:col>
      <xdr:colOff>3045263</xdr:colOff>
      <xdr:row>13</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4634641" y="2226235"/>
          <a:ext cx="497416" cy="497416"/>
        </a:xfrm>
        <a:prstGeom prst="rect">
          <a:avLst/>
        </a:prstGeom>
      </xdr:spPr>
    </xdr:pic>
    <xdr:clientData/>
  </xdr:twoCellAnchor>
  <xdr:twoCellAnchor editAs="absolute">
    <xdr:from>
      <xdr:col>16</xdr:col>
      <xdr:colOff>669721</xdr:colOff>
      <xdr:row>10</xdr:row>
      <xdr:rowOff>92372</xdr:rowOff>
    </xdr:from>
    <xdr:to>
      <xdr:col>19</xdr:col>
      <xdr:colOff>659631</xdr:colOff>
      <xdr:row>12</xdr:row>
      <xdr:rowOff>16430</xdr:rowOff>
    </xdr:to>
    <xdr:sp macro="" textlink="">
      <xdr:nvSpPr>
        <xdr:cNvPr id="3" name="Rectangle 2">
          <a:hlinkClick xmlns:r="http://schemas.openxmlformats.org/officeDocument/2006/relationships" r:id="rId10"/>
          <a:extLst>
            <a:ext uri="{FF2B5EF4-FFF2-40B4-BE49-F238E27FC236}">
              <a16:creationId xmlns:a16="http://schemas.microsoft.com/office/drawing/2014/main" id="{27C4E171-75C6-4052-9714-4BAF689A147D}"/>
            </a:ext>
          </a:extLst>
        </xdr:cNvPr>
        <xdr:cNvSpPr/>
      </xdr:nvSpPr>
      <xdr:spPr>
        <a:xfrm rot="10800000" flipH="1" flipV="1">
          <a:off x="15046868" y="1773254"/>
          <a:ext cx="2141439" cy="237823"/>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Activity+Stakeholder</a:t>
          </a:r>
        </a:p>
      </xdr:txBody>
    </xdr:sp>
    <xdr:clientData/>
  </xdr:twoCellAnchor>
  <xdr:twoCellAnchor editAs="absolute">
    <xdr:from>
      <xdr:col>19</xdr:col>
      <xdr:colOff>897199</xdr:colOff>
      <xdr:row>10</xdr:row>
      <xdr:rowOff>97587</xdr:rowOff>
    </xdr:from>
    <xdr:to>
      <xdr:col>20</xdr:col>
      <xdr:colOff>756729</xdr:colOff>
      <xdr:row>12</xdr:row>
      <xdr:rowOff>21645</xdr:rowOff>
    </xdr:to>
    <xdr:sp macro="" textlink="">
      <xdr:nvSpPr>
        <xdr:cNvPr id="6" name="Rectangle 5">
          <a:hlinkClick xmlns:r="http://schemas.openxmlformats.org/officeDocument/2006/relationships" r:id="rId11"/>
          <a:extLst>
            <a:ext uri="{FF2B5EF4-FFF2-40B4-BE49-F238E27FC236}">
              <a16:creationId xmlns:a16="http://schemas.microsoft.com/office/drawing/2014/main" id="{8D4396A4-C472-4D57-9352-BBAF002F015E}"/>
            </a:ext>
          </a:extLst>
        </xdr:cNvPr>
        <xdr:cNvSpPr/>
      </xdr:nvSpPr>
      <xdr:spPr>
        <a:xfrm rot="10800000" flipH="1" flipV="1">
          <a:off x="17459712" y="1784184"/>
          <a:ext cx="2147657" cy="237823"/>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3295564</xdr:colOff>
      <xdr:row>10</xdr:row>
      <xdr:rowOff>113907</xdr:rowOff>
    </xdr:from>
    <xdr:to>
      <xdr:col>3</xdr:col>
      <xdr:colOff>123114</xdr:colOff>
      <xdr:row>13</xdr:row>
      <xdr:rowOff>87441</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564505" y="1727554"/>
          <a:ext cx="2833903" cy="44418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2</xdr:col>
      <xdr:colOff>2883692</xdr:colOff>
      <xdr:row>15</xdr:row>
      <xdr:rowOff>95232</xdr:rowOff>
    </xdr:from>
    <xdr:to>
      <xdr:col>3</xdr:col>
      <xdr:colOff>1582342</xdr:colOff>
      <xdr:row>17</xdr:row>
      <xdr:rowOff>143572</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579392" y="2733657"/>
          <a:ext cx="2232425" cy="372190"/>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42333</xdr:colOff>
      <xdr:row>3</xdr:row>
      <xdr:rowOff>42333</xdr:rowOff>
    </xdr:from>
    <xdr:to>
      <xdr:col>2</xdr:col>
      <xdr:colOff>860562</xdr:colOff>
      <xdr:row>5</xdr:row>
      <xdr:rowOff>130586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rot="10800000" flipH="1" flipV="1">
          <a:off x="656166" y="603250"/>
          <a:ext cx="2499921" cy="39622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Return to</a:t>
          </a:r>
          <a:r>
            <a:rPr lang="en-CA" sz="1000" b="1" baseline="0">
              <a:solidFill>
                <a:schemeClr val="tx1"/>
              </a:solidFill>
              <a:latin typeface="Arial" panose="020B0604020202020204" pitchFamily="34" charset="0"/>
              <a:cs typeface="Arial" panose="020B0604020202020204" pitchFamily="34" charset="0"/>
            </a:rPr>
            <a:t> </a:t>
          </a:r>
          <a:r>
            <a:rPr lang="en-CA" sz="1000" b="1">
              <a:solidFill>
                <a:schemeClr val="tx1"/>
              </a:solidFill>
              <a:latin typeface="Arial" panose="020B0604020202020204" pitchFamily="34" charset="0"/>
              <a:cs typeface="Arial" panose="020B0604020202020204" pitchFamily="34" charset="0"/>
            </a:rPr>
            <a:t>Stakeholder Profile</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5</xdr:col>
      <xdr:colOff>449227</xdr:colOff>
      <xdr:row>10</xdr:row>
      <xdr:rowOff>114056</xdr:rowOff>
    </xdr:from>
    <xdr:to>
      <xdr:col>7</xdr:col>
      <xdr:colOff>923097</xdr:colOff>
      <xdr:row>12</xdr:row>
      <xdr:rowOff>142684</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4B191342-67B4-44E5-81A9-4B2A578EBE06}"/>
            </a:ext>
          </a:extLst>
        </xdr:cNvPr>
        <xdr:cNvSpPr/>
      </xdr:nvSpPr>
      <xdr:spPr>
        <a:xfrm rot="10800000" flipH="1" flipV="1">
          <a:off x="6954802" y="1790456"/>
          <a:ext cx="2340770" cy="35247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7</xdr:col>
      <xdr:colOff>521425</xdr:colOff>
      <xdr:row>10</xdr:row>
      <xdr:rowOff>138552</xdr:rowOff>
    </xdr:from>
    <xdr:to>
      <xdr:col>10</xdr:col>
      <xdr:colOff>61846</xdr:colOff>
      <xdr:row>13</xdr:row>
      <xdr:rowOff>14557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rot="10800000" flipH="1" flipV="1">
          <a:off x="9046300" y="1814952"/>
          <a:ext cx="2340771" cy="361780"/>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7</xdr:col>
      <xdr:colOff>146098</xdr:colOff>
      <xdr:row>8</xdr:row>
      <xdr:rowOff>185298</xdr:rowOff>
    </xdr:from>
    <xdr:to>
      <xdr:col>9</xdr:col>
      <xdr:colOff>259822</xdr:colOff>
      <xdr:row>11</xdr:row>
      <xdr:rowOff>77018</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rot="10800000" flipH="1" flipV="1">
          <a:off x="9579989" y="1527081"/>
          <a:ext cx="2283768" cy="413524"/>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10</xdr:col>
      <xdr:colOff>337968</xdr:colOff>
      <xdr:row>10</xdr:row>
      <xdr:rowOff>65905</xdr:rowOff>
    </xdr:from>
    <xdr:to>
      <xdr:col>12</xdr:col>
      <xdr:colOff>778874</xdr:colOff>
      <xdr:row>12</xdr:row>
      <xdr:rowOff>119617</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DB7A202B-F202-4552-94A4-3BF22574BD35}"/>
            </a:ext>
          </a:extLst>
        </xdr:cNvPr>
        <xdr:cNvSpPr/>
      </xdr:nvSpPr>
      <xdr:spPr>
        <a:xfrm rot="10800000" flipH="1" flipV="1">
          <a:off x="13206243" y="1742305"/>
          <a:ext cx="2326856" cy="37756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2.xml><?xml version="1.0" encoding="utf-8"?>
<xdr:wsDr xmlns:xdr="http://schemas.openxmlformats.org/drawingml/2006/spreadsheetDrawing" xmlns:a="http://schemas.openxmlformats.org/drawingml/2006/main">
  <xdr:twoCellAnchor editAs="absolute">
    <xdr:from>
      <xdr:col>10</xdr:col>
      <xdr:colOff>679167</xdr:colOff>
      <xdr:row>10</xdr:row>
      <xdr:rowOff>85904</xdr:rowOff>
    </xdr:from>
    <xdr:to>
      <xdr:col>13</xdr:col>
      <xdr:colOff>147319</xdr:colOff>
      <xdr:row>13</xdr:row>
      <xdr:rowOff>21121</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14185617" y="1790879"/>
          <a:ext cx="2297077" cy="42099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13</xdr:col>
      <xdr:colOff>516453</xdr:colOff>
      <xdr:row>11</xdr:row>
      <xdr:rowOff>74294</xdr:rowOff>
    </xdr:from>
    <xdr:to>
      <xdr:col>17</xdr:col>
      <xdr:colOff>438321</xdr:colOff>
      <xdr:row>13</xdr:row>
      <xdr:rowOff>250800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6973697" y="1788794"/>
          <a:ext cx="2343124" cy="477496"/>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drawings/drawing15.xml><?xml version="1.0" encoding="utf-8"?>
<xdr:wsDr xmlns:xdr="http://schemas.openxmlformats.org/drawingml/2006/spreadsheetDrawing" xmlns:a="http://schemas.openxmlformats.org/drawingml/2006/main">
  <xdr:twoCellAnchor editAs="absolute">
    <xdr:from>
      <xdr:col>0</xdr:col>
      <xdr:colOff>0</xdr:colOff>
      <xdr:row>0</xdr:row>
      <xdr:rowOff>15876</xdr:rowOff>
    </xdr:from>
    <xdr:to>
      <xdr:col>0</xdr:col>
      <xdr:colOff>836083</xdr:colOff>
      <xdr:row>0</xdr:row>
      <xdr:rowOff>222250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D4F7901-278A-7B3E-4C53-C17245491311}"/>
            </a:ext>
          </a:extLst>
        </xdr:cNvPr>
        <xdr:cNvSpPr txBox="1"/>
      </xdr:nvSpPr>
      <xdr:spPr>
        <a:xfrm>
          <a:off x="0" y="15876"/>
          <a:ext cx="836083" cy="206374"/>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900" b="1">
              <a:solidFill>
                <a:schemeClr val="bg1"/>
              </a:solidFill>
              <a:latin typeface="Arial" panose="020B0604020202020204" pitchFamily="34" charset="0"/>
              <a:cs typeface="Arial" panose="020B0604020202020204" pitchFamily="34" charset="0"/>
            </a:rPr>
            <a:t>FORMULAS</a:t>
          </a:r>
        </a:p>
      </xdr:txBody>
    </xdr:sp>
    <xdr:clientData/>
  </xdr:twoCellAnchor>
</xdr:wsDr>
</file>

<file path=xl/drawings/drawing16.xml><?xml version="1.0" encoding="utf-8"?>
<xdr:wsDr xmlns:xdr="http://schemas.openxmlformats.org/drawingml/2006/spreadsheetDrawing" xmlns:a="http://schemas.openxmlformats.org/drawingml/2006/main">
  <xdr:twoCellAnchor editAs="absolute">
    <xdr:from>
      <xdr:col>59</xdr:col>
      <xdr:colOff>1594003</xdr:colOff>
      <xdr:row>0</xdr:row>
      <xdr:rowOff>57150</xdr:rowOff>
    </xdr:from>
    <xdr:to>
      <xdr:col>59</xdr:col>
      <xdr:colOff>2659722</xdr:colOff>
      <xdr:row>0</xdr:row>
      <xdr:rowOff>250507</xdr:rowOff>
    </xdr:to>
    <xdr:sp macro="" textlink="">
      <xdr:nvSpPr>
        <xdr:cNvPr id="2" name="TextBox 1">
          <a:hlinkClick xmlns:r="http://schemas.openxmlformats.org/officeDocument/2006/relationships" r:id="rId1"/>
          <a:extLst>
            <a:ext uri="{FF2B5EF4-FFF2-40B4-BE49-F238E27FC236}">
              <a16:creationId xmlns:a16="http://schemas.microsoft.com/office/drawing/2014/main" id="{EF9BDF5C-21B2-A436-E5AD-4740ECB83C83}"/>
            </a:ext>
          </a:extLst>
        </xdr:cNvPr>
        <xdr:cNvSpPr txBox="1"/>
      </xdr:nvSpPr>
      <xdr:spPr>
        <a:xfrm>
          <a:off x="112641061" y="47625"/>
          <a:ext cx="1075532" cy="214312"/>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bg1"/>
              </a:solidFill>
              <a:latin typeface="Arial" panose="020B0604020202020204" pitchFamily="34" charset="0"/>
              <a:cs typeface="Arial" panose="020B0604020202020204" pitchFamily="34" charset="0"/>
            </a:rPr>
            <a:t>FULL OUTPUT</a:t>
          </a:r>
        </a:p>
      </xdr:txBody>
    </xdr:sp>
    <xdr:clientData/>
  </xdr:twoCellAnchor>
  <xdr:twoCellAnchor>
    <xdr:from>
      <xdr:col>67</xdr:col>
      <xdr:colOff>269875</xdr:colOff>
      <xdr:row>0</xdr:row>
      <xdr:rowOff>317501</xdr:rowOff>
    </xdr:from>
    <xdr:to>
      <xdr:col>72</xdr:col>
      <xdr:colOff>571500</xdr:colOff>
      <xdr:row>0</xdr:row>
      <xdr:rowOff>904875</xdr:rowOff>
    </xdr:to>
    <xdr:sp macro="" textlink="">
      <xdr:nvSpPr>
        <xdr:cNvPr id="3" name="TextBox 2">
          <a:extLst>
            <a:ext uri="{FF2B5EF4-FFF2-40B4-BE49-F238E27FC236}">
              <a16:creationId xmlns:a16="http://schemas.microsoft.com/office/drawing/2014/main" id="{9F32F731-84FA-E4BF-F71E-C0EABFBC655F}"/>
            </a:ext>
          </a:extLst>
        </xdr:cNvPr>
        <xdr:cNvSpPr txBox="1"/>
      </xdr:nvSpPr>
      <xdr:spPr>
        <a:xfrm>
          <a:off x="114458750" y="317501"/>
          <a:ext cx="3317875" cy="58737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0">
              <a:latin typeface="Arial" panose="020B0604020202020204" pitchFamily="34" charset="0"/>
              <a:cs typeface="Arial" panose="020B0604020202020204" pitchFamily="34" charset="0"/>
            </a:rPr>
            <a:t>Copy-paste the formulas</a:t>
          </a:r>
          <a:r>
            <a:rPr lang="en-CA" sz="1000" b="0" baseline="0">
              <a:latin typeface="Arial" panose="020B0604020202020204" pitchFamily="34" charset="0"/>
              <a:cs typeface="Arial" panose="020B0604020202020204" pitchFamily="34" charset="0"/>
            </a:rPr>
            <a:t> on the right back into the appropriate columns on the Full Output tab, if needed.</a:t>
          </a:r>
          <a:endParaRPr lang="en-CA" sz="1000" b="0">
            <a:latin typeface="Arial" panose="020B0604020202020204" pitchFamily="34" charset="0"/>
            <a:cs typeface="Arial" panose="020B0604020202020204" pitchFamily="34" charset="0"/>
          </a:endParaRPr>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27" dataDxfId="125" headerRowBorderDxfId="126">
  <tableColumns count="1">
    <tableColumn id="1" xr3:uid="{EADD94CF-9F64-4ABB-BDD4-B2AE739C8E16}" uniqueName="1" name="Right-click and Refresh this box to check for a new version" queryTableFieldId="9" dataDxfId="124"/>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16:K17" totalsRowShown="0" headerRowDxfId="123" dataDxfId="121" headerRowBorderDxfId="122" tableBorderDxfId="120" totalsRowBorderDxfId="119" headerRowCellStyle="Normal 2">
  <sortState xmlns:xlrd2="http://schemas.microsoft.com/office/spreadsheetml/2017/richdata2" ref="B16:J16">
    <sortCondition ref="B16"/>
  </sortState>
  <tableColumns count="10">
    <tableColumn id="1" xr3:uid="{920BEA18-267B-450E-A764-D1B1BCDCB6CA}" name="Stakeholder Group" dataDxfId="118" dataCellStyle="Normal 2"/>
    <tableColumn id="2" xr3:uid="{6DEF87FF-4018-4CCC-AA7B-48BB3AA83B4F}" name="Non-business Count" dataDxfId="117" dataCellStyle="Normal 2"/>
    <tableColumn id="3" xr3:uid="{C411DE19-DA82-4F13-82B7-F1B3F5C007D9}" name="Small Business Count" dataDxfId="116" dataCellStyle="Normal 2"/>
    <tableColumn id="4" xr3:uid="{2821D350-189F-488F-A5C0-B64868EE3E0B}" name="Med/Large Business Count" dataDxfId="115" dataCellStyle="Normal 2"/>
    <tableColumn id="5" xr3:uid="{BEE60A7C-1D51-4E0C-BAC8-E9A211B9898A}" name="Total Business Count" dataDxfId="114" dataCellStyle="Normal 2">
      <calculatedColumnFormula>tbl_Stakeholders[[#This Row],[Small Business Count]]+tbl_Stakeholders[[#This Row],[Med/Large Business Count]]</calculatedColumnFormula>
    </tableColumn>
    <tableColumn id="6" xr3:uid="{02F67F9E-27FC-4254-8917-E5A57077B350}" name="Total Stakeholder Count" dataDxfId="113" dataCellStyle="Normal 2">
      <calculatedColumnFormula>tbl_Stakeholders[[#This Row],[Total Business Count]]+tbl_Stakeholders[[#This Row],[Non-business Count]]</calculatedColumnFormula>
    </tableColumn>
    <tableColumn id="7" xr3:uid="{C4E5A3C2-5587-4C6A-B637-AF20A4EBC801}" name="Non-business Growth Rate" dataDxfId="112"/>
    <tableColumn id="8" xr3:uid="{AF02A1C2-038B-404C-B16D-B49AFC50CABB}" name="Small Business Growth Rate" dataDxfId="111"/>
    <tableColumn id="9" xr3:uid="{267A6211-159E-4F86-B38D-F1BD02AB00CA}" name="Med/Large Business Growth Rate" dataDxfId="110"/>
    <tableColumn id="10" xr3:uid="{BC102B3C-339F-43E9-BA35-E017D3B34308}" name="Assumptions/Notes" dataDxfId="109"/>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4:V15" totalsRowShown="0" headerRowDxfId="108" dataDxfId="106" headerRowBorderDxfId="107" tableBorderDxfId="105" totalsRowBorderDxfId="104" headerRowCellStyle="Normal 2">
  <tableColumns count="21">
    <tableColumn id="1" xr3:uid="{65A099BC-738F-4CA0-85A2-8F4C8F82D830}" name="Activity" dataDxfId="103" dataCellStyle="Normal 2"/>
    <tableColumn id="2" xr3:uid="{2BE44DDF-2D28-448F-B936-D007FFA33384}" name="Administrative or Compliance" dataDxfId="102" dataCellStyle="Normal 2"/>
    <tableColumn id="3" xr3:uid="{1C632198-DE0B-4414-8650-8FE47D525F88}" name="In or Out" dataDxfId="101" dataCellStyle="Normal 2"/>
    <tableColumn id="4" xr3:uid="{0EDBD594-8489-4C44-9D96-F1ADEEBE0DBF}" name="Upfront or  Ongoing" dataDxfId="100" dataCellStyle="Normal 2"/>
    <tableColumn id="5" xr3:uid="{D1C308E2-BA3C-4525-B8CB-F4071E802FD6}" name="Start Year" dataDxfId="99" dataCellStyle="Normal 2"/>
    <tableColumn id="6" xr3:uid="{82BC7FDD-AB9E-44E9-82B3-C61093609B04}" name="End Year" dataDxfId="98" dataCellStyle="Normal 2"/>
    <tableColumn id="7" xr3:uid="{4613A8BF-D255-4AF4-83EE-F2CF2D752A38}" name="Affected Stakeholder Group" dataDxfId="97" dataCellStyle="Normal 2"/>
    <tableColumn id="8" xr3:uid="{4175C6BD-9CF3-4684-8984-D1801FD6D257}" name="Affected Stakeholder Type" dataDxfId="96" dataCellStyle="Normal 2"/>
    <tableColumn id="9" xr3:uid="{33B2DA87-38F9-46ED-ACF6-3FA9760927BC}" name="Percent Affected" dataDxfId="95"/>
    <tableColumn id="10" xr3:uid="{AC32CBFF-0012-4E5F-91A1-8B99F21311CB}" name="Apply to Existing Stakeholders" dataDxfId="94" dataCellStyle="Normal 2"/>
    <tableColumn id="11" xr3:uid="{C4E88C80-E17E-4F3D-9241-542D27B4CAD7}" name="Apply to New Entrants" dataDxfId="93" dataCellStyle="Normal 2"/>
    <tableColumn id="15" xr3:uid="{6844A7FD-391E-4057-939F-FCF18F6AA428}" name="Capital or Labour" dataDxfId="92"/>
    <tableColumn id="16" xr3:uid="{8F229652-99DE-4253-A024-A1F323856A06}" name="Capital: Number of Units" dataDxfId="91"/>
    <tableColumn id="17" xr3:uid="{BB41C012-479C-4840-B52C-496B641DD81E}" name="Capital: Unit Price" dataDxfId="90"/>
    <tableColumn id="18" xr3:uid="{2096BA5D-7391-4C33-A6F7-3AE237FF2546}" name="Capital: Price Year of Unit Price" dataDxfId="89"/>
    <tableColumn id="23" xr3:uid="{89B86BFE-2834-4E04-B671-5056B5F05212}" name="Annual Frequency" dataDxfId="88"/>
    <tableColumn id="22" xr3:uid="{76D19E14-9CED-42BB-9591-CCB81734D9AA}" name="Labour: Time Spent (hours)" dataDxfId="87" dataCellStyle="Comma"/>
    <tableColumn id="19" xr3:uid="{8BB445B7-7287-4EE8-A17F-0EB7CB9FF0D5}" name="Labour: Internal or External Overhead" dataDxfId="86"/>
    <tableColumn id="20" xr3:uid="{115F4724-1DC1-42A9-BE39-2FFAD4403AD2}" name="Labour: Staff Level (Wage Without Overhead)" dataDxfId="85"/>
    <tableColumn id="12" xr3:uid="{FF787A91-CF3E-4C57-A497-F051406D4F66}" name="Error Check" dataDxfId="84">
      <calculatedColumnFormula array="1">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calculatedColumnFormula>
    </tableColumn>
    <tableColumn id="13" xr3:uid="{52FC6E35-E9B5-4936-84ED-61D985E22842}" name="Assumptions/Notes" dataDxfId="83"/>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82" dataDxfId="80" headerRowBorderDxfId="81" tableBorderDxfId="79" totalsRowBorderDxfId="78">
  <tableColumns count="5">
    <tableColumn id="5" xr3:uid="{546662A6-01A3-4C42-A719-F272AA728E3F}" name="Number" dataDxfId="77" dataCellStyle="Normal 2">
      <calculatedColumnFormula>TEXT(ROW(C15)-ROW(tbl_Wages[[#Headers],[Number]]), "00")</calculatedColumnFormula>
    </tableColumn>
    <tableColumn id="1" xr3:uid="{20F5CDDD-338E-4621-9904-10A5A545C74E}" name="National Occupational Classification (NOC)" dataDxfId="76" dataCellStyle="Normal 2"/>
    <tableColumn id="2" xr3:uid="{D3390B37-54E8-41B2-AC1F-321DA8D5332A}" name="Price year of data source" dataDxfId="75" dataCellStyle="Normal 2"/>
    <tableColumn id="3" xr3:uid="{EDB81478-1C17-4622-92A5-1E9119F79F9B}" name="Wage in price year of data source (without overhead)" dataDxfId="74" dataCellStyle="Normal 2"/>
    <tableColumn id="4" xr3:uid="{9DE1072A-507C-4161-BC2C-B4FE4E367175}" name="Wage in price year of analysis (without overhead)" dataDxfId="73">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72" dataDxfId="70" headerRowBorderDxfId="71" tableBorderDxfId="69" totalsRowBorderDxfId="68">
  <tableColumns count="2">
    <tableColumn id="3" xr3:uid="{DA62A898-12CF-4A60-9FEB-00B4385E3C16}" uniqueName="3" name="Year" queryTableFieldId="3" dataDxfId="67"/>
    <tableColumn id="4" xr3:uid="{268D9651-8A8A-453A-AE71-8F05FF58D1B0}" uniqueName="4" name="Index" queryTableFieldId="4" dataDxfId="66"/>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2.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A1:O56"/>
  <sheetViews>
    <sheetView showGridLines="0" tabSelected="1" zoomScale="115" zoomScaleNormal="115" workbookViewId="0">
      <selection activeCell="D16" sqref="D16"/>
    </sheetView>
  </sheetViews>
  <sheetFormatPr defaultColWidth="9.140625" defaultRowHeight="12.75" x14ac:dyDescent="0.2"/>
  <cols>
    <col min="1" max="2" width="6.140625" style="209" customWidth="1"/>
    <col min="3" max="3" width="36.7109375" style="209" customWidth="1"/>
    <col min="4" max="4" width="10.5703125" style="209" customWidth="1"/>
    <col min="5" max="5" width="11.42578125" style="214" customWidth="1"/>
    <col min="6" max="6" width="10" style="215" customWidth="1"/>
    <col min="7" max="16384" width="9.140625" style="209"/>
  </cols>
  <sheetData>
    <row r="1" spans="1:8" ht="12.75" customHeight="1" x14ac:dyDescent="0.2">
      <c r="A1" s="238"/>
      <c r="B1" s="238"/>
      <c r="C1" s="238"/>
      <c r="D1" s="238"/>
      <c r="E1" s="238"/>
      <c r="F1" s="238"/>
      <c r="G1" s="238"/>
      <c r="H1" s="238"/>
    </row>
    <row r="2" spans="1:8" ht="12.75" customHeight="1" x14ac:dyDescent="0.2">
      <c r="A2" s="238"/>
      <c r="B2" s="238"/>
      <c r="C2" s="238"/>
      <c r="D2" s="238"/>
      <c r="E2" s="238"/>
      <c r="F2" s="238"/>
      <c r="G2" s="238"/>
      <c r="H2" s="238"/>
    </row>
    <row r="3" spans="1:8" ht="12.75" customHeight="1" x14ac:dyDescent="0.2">
      <c r="A3" s="238"/>
      <c r="B3" s="238"/>
      <c r="C3" s="238"/>
      <c r="D3" s="238"/>
      <c r="E3" s="238"/>
      <c r="F3" s="238"/>
      <c r="G3" s="238"/>
      <c r="H3" s="238"/>
    </row>
    <row r="4" spans="1:8" ht="12.75" customHeight="1" x14ac:dyDescent="0.2">
      <c r="A4" s="238"/>
      <c r="B4" s="238"/>
      <c r="C4" s="238"/>
      <c r="D4" s="238"/>
      <c r="E4" s="238"/>
      <c r="F4" s="238"/>
      <c r="G4" s="238"/>
      <c r="H4" s="238"/>
    </row>
    <row r="5" spans="1:8" ht="12.75" customHeight="1" x14ac:dyDescent="0.2">
      <c r="A5" s="238"/>
      <c r="B5" s="238"/>
      <c r="C5" s="238"/>
      <c r="D5" s="238"/>
      <c r="E5" s="238"/>
      <c r="F5" s="238"/>
      <c r="G5" s="238"/>
      <c r="H5" s="238"/>
    </row>
    <row r="6" spans="1:8" ht="12.75" customHeight="1" x14ac:dyDescent="0.2">
      <c r="A6" s="238"/>
      <c r="B6" s="238"/>
      <c r="C6" s="238"/>
      <c r="D6" s="238"/>
      <c r="E6" s="238"/>
      <c r="F6" s="238"/>
      <c r="G6" s="238"/>
      <c r="H6" s="238"/>
    </row>
    <row r="7" spans="1:8" ht="12.75" customHeight="1" x14ac:dyDescent="0.2">
      <c r="A7" s="238"/>
      <c r="B7" s="238"/>
      <c r="C7" s="238"/>
      <c r="D7" s="238"/>
      <c r="E7" s="238"/>
      <c r="F7" s="238"/>
      <c r="G7" s="238"/>
      <c r="H7" s="238"/>
    </row>
    <row r="8" spans="1:8" ht="12.75" customHeight="1" x14ac:dyDescent="0.2">
      <c r="A8" s="238"/>
      <c r="B8" s="238"/>
      <c r="C8" s="238"/>
      <c r="D8" s="238"/>
      <c r="E8" s="238"/>
      <c r="F8" s="238"/>
      <c r="G8" s="238"/>
      <c r="H8" s="238"/>
    </row>
    <row r="9" spans="1:8" ht="12.75" customHeight="1" x14ac:dyDescent="0.2">
      <c r="A9" s="238"/>
      <c r="B9" s="238"/>
      <c r="C9" s="238"/>
      <c r="D9" s="238"/>
      <c r="E9" s="238"/>
      <c r="F9" s="238"/>
      <c r="G9" s="238"/>
      <c r="H9" s="238"/>
    </row>
    <row r="10" spans="1:8" ht="12.75" customHeight="1" x14ac:dyDescent="0.2">
      <c r="A10" s="238"/>
      <c r="B10" s="238"/>
      <c r="C10" s="238"/>
      <c r="D10" s="238"/>
      <c r="E10" s="238"/>
      <c r="F10" s="238"/>
      <c r="G10" s="238"/>
      <c r="H10" s="238"/>
    </row>
    <row r="11" spans="1:8" ht="12.75" customHeight="1" x14ac:dyDescent="0.2">
      <c r="A11" s="238"/>
      <c r="B11" s="238"/>
      <c r="C11" s="238"/>
      <c r="D11" s="238"/>
      <c r="E11" s="238"/>
      <c r="F11" s="238"/>
      <c r="G11" s="238"/>
      <c r="H11" s="238"/>
    </row>
    <row r="12" spans="1:8" ht="12.75" customHeight="1" x14ac:dyDescent="0.2">
      <c r="A12" s="238"/>
      <c r="B12" s="238"/>
      <c r="C12" s="238"/>
      <c r="D12" s="238"/>
      <c r="E12" s="238"/>
      <c r="F12" s="238"/>
      <c r="G12" s="238"/>
      <c r="H12" s="238"/>
    </row>
    <row r="13" spans="1:8" ht="12.75" customHeight="1" x14ac:dyDescent="0.2">
      <c r="A13" s="238"/>
      <c r="B13" s="238"/>
      <c r="C13" s="238"/>
      <c r="D13" s="238"/>
      <c r="E13" s="238"/>
      <c r="F13" s="238"/>
      <c r="G13" s="238"/>
      <c r="H13" s="238"/>
    </row>
    <row r="14" spans="1:8" x14ac:dyDescent="0.2">
      <c r="E14" s="209"/>
    </row>
    <row r="15" spans="1:8" x14ac:dyDescent="0.2">
      <c r="E15" s="209"/>
    </row>
    <row r="16" spans="1:8" x14ac:dyDescent="0.2">
      <c r="C16" s="229" t="s">
        <v>327</v>
      </c>
      <c r="D16" s="212">
        <v>4.0599999999999996</v>
      </c>
      <c r="E16" s="219"/>
      <c r="F16" s="214"/>
    </row>
    <row r="17" spans="3:8" s="219" customFormat="1" x14ac:dyDescent="0.2">
      <c r="C17" s="229"/>
      <c r="D17" s="212"/>
      <c r="F17" s="220"/>
    </row>
    <row r="18" spans="3:8" s="219" customFormat="1" x14ac:dyDescent="0.2">
      <c r="C18" s="229" t="s">
        <v>332</v>
      </c>
      <c r="D18" s="233">
        <v>45678</v>
      </c>
    </row>
    <row r="19" spans="3:8" s="219" customFormat="1" x14ac:dyDescent="0.2">
      <c r="C19" s="229"/>
      <c r="D19" s="233"/>
    </row>
    <row r="20" spans="3:8" s="219" customFormat="1" x14ac:dyDescent="0.2">
      <c r="C20" s="229" t="s">
        <v>358</v>
      </c>
      <c r="D20" s="265" t="s">
        <v>357</v>
      </c>
    </row>
    <row r="21" spans="3:8" s="219" customFormat="1" x14ac:dyDescent="0.2">
      <c r="C21" s="229"/>
      <c r="D21" s="265"/>
    </row>
    <row r="22" spans="3:8" s="219" customFormat="1" ht="13.5" thickBot="1" x14ac:dyDescent="0.25">
      <c r="C22" s="229"/>
      <c r="D22" s="233"/>
    </row>
    <row r="23" spans="3:8" s="219" customFormat="1" ht="27" thickTop="1" thickBot="1" x14ac:dyDescent="0.25">
      <c r="C23" s="237" t="s">
        <v>347</v>
      </c>
      <c r="D23" s="212"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row>
    <row r="24" spans="3:8" s="219" customFormat="1" ht="15.75" thickTop="1" x14ac:dyDescent="0.25">
      <c r="C24" s="234">
        <v>45678</v>
      </c>
      <c r="D24" s="236"/>
    </row>
    <row r="25" spans="3:8" s="219" customFormat="1" x14ac:dyDescent="0.2">
      <c r="C25" s="230"/>
      <c r="D25" s="216"/>
      <c r="E25" s="209"/>
    </row>
    <row r="26" spans="3:8" x14ac:dyDescent="0.2">
      <c r="C26" s="231" t="s">
        <v>328</v>
      </c>
      <c r="D26" s="217" t="s">
        <v>334</v>
      </c>
      <c r="E26" s="209"/>
      <c r="F26" s="219"/>
    </row>
    <row r="27" spans="3:8" x14ac:dyDescent="0.2">
      <c r="C27" s="232"/>
      <c r="D27" s="215" t="s">
        <v>343</v>
      </c>
      <c r="E27" s="209"/>
      <c r="F27" s="214"/>
    </row>
    <row r="28" spans="3:8" x14ac:dyDescent="0.2">
      <c r="C28" s="232"/>
      <c r="D28" s="215" t="s">
        <v>355</v>
      </c>
      <c r="E28" s="209"/>
      <c r="F28" s="214"/>
    </row>
    <row r="29" spans="3:8" x14ac:dyDescent="0.2">
      <c r="C29" s="232"/>
      <c r="D29" s="215"/>
      <c r="E29" s="209"/>
      <c r="F29" s="214"/>
    </row>
    <row r="30" spans="3:8" x14ac:dyDescent="0.2">
      <c r="C30" s="231" t="s">
        <v>330</v>
      </c>
      <c r="D30" s="222" t="s">
        <v>342</v>
      </c>
      <c r="E30" s="209"/>
      <c r="F30" s="214"/>
    </row>
    <row r="31" spans="3:8" x14ac:dyDescent="0.2">
      <c r="C31" s="231"/>
      <c r="D31" s="221"/>
      <c r="E31" s="209"/>
      <c r="F31" s="214"/>
      <c r="H31" s="210"/>
    </row>
    <row r="32" spans="3:8" x14ac:dyDescent="0.2">
      <c r="C32" s="231" t="s">
        <v>335</v>
      </c>
      <c r="D32" s="222" t="s">
        <v>331</v>
      </c>
      <c r="E32" s="209"/>
      <c r="F32" s="214"/>
    </row>
    <row r="33" spans="3:15" x14ac:dyDescent="0.2">
      <c r="C33" s="232"/>
      <c r="D33" s="222" t="s">
        <v>356</v>
      </c>
      <c r="E33" s="209"/>
      <c r="F33" s="214"/>
    </row>
    <row r="34" spans="3:15" x14ac:dyDescent="0.2">
      <c r="C34" s="232"/>
      <c r="D34" s="218"/>
      <c r="E34" s="209"/>
      <c r="F34" s="214"/>
    </row>
    <row r="35" spans="3:15" x14ac:dyDescent="0.2">
      <c r="C35" s="231" t="s">
        <v>329</v>
      </c>
      <c r="D35" s="222" t="s">
        <v>333</v>
      </c>
      <c r="E35" s="209"/>
      <c r="F35" s="214"/>
    </row>
    <row r="36" spans="3:15" x14ac:dyDescent="0.2">
      <c r="C36" s="231"/>
      <c r="D36" s="222"/>
      <c r="E36" s="209"/>
      <c r="F36" s="214"/>
    </row>
    <row r="37" spans="3:15" x14ac:dyDescent="0.2">
      <c r="C37" s="232"/>
      <c r="D37" s="215"/>
      <c r="E37" s="209"/>
      <c r="F37" s="214"/>
    </row>
    <row r="38" spans="3:15" x14ac:dyDescent="0.2">
      <c r="C38" s="231" t="s">
        <v>336</v>
      </c>
      <c r="D38" s="223"/>
      <c r="E38" s="215" t="s">
        <v>341</v>
      </c>
      <c r="F38" s="214"/>
    </row>
    <row r="39" spans="3:15" x14ac:dyDescent="0.2">
      <c r="C39" s="232"/>
      <c r="D39" s="214"/>
      <c r="E39" s="215"/>
      <c r="F39" s="214"/>
    </row>
    <row r="40" spans="3:15" x14ac:dyDescent="0.2">
      <c r="C40" s="232"/>
      <c r="D40" s="224"/>
      <c r="E40" s="215" t="s">
        <v>337</v>
      </c>
      <c r="F40" s="214"/>
    </row>
    <row r="41" spans="3:15" x14ac:dyDescent="0.2">
      <c r="C41" s="232"/>
      <c r="D41" s="214"/>
      <c r="E41" s="215"/>
      <c r="F41" s="214"/>
    </row>
    <row r="42" spans="3:15" x14ac:dyDescent="0.2">
      <c r="C42" s="232"/>
      <c r="D42" s="225"/>
      <c r="E42" s="211" t="s">
        <v>338</v>
      </c>
      <c r="F42" s="214"/>
    </row>
    <row r="43" spans="3:15" x14ac:dyDescent="0.2">
      <c r="C43" s="232"/>
      <c r="D43" s="214"/>
      <c r="E43" s="215"/>
      <c r="F43" s="214"/>
    </row>
    <row r="44" spans="3:15" ht="15" x14ac:dyDescent="0.25">
      <c r="C44" s="232"/>
      <c r="D44" s="226"/>
      <c r="E44" s="217" t="s">
        <v>339</v>
      </c>
      <c r="F44" s="214"/>
      <c r="O44"/>
    </row>
    <row r="45" spans="3:15" x14ac:dyDescent="0.2">
      <c r="C45" s="232"/>
      <c r="D45" s="214"/>
      <c r="E45" s="215"/>
      <c r="F45" s="214"/>
    </row>
    <row r="46" spans="3:15" x14ac:dyDescent="0.2">
      <c r="C46" s="232"/>
      <c r="D46" s="227"/>
      <c r="E46" s="211" t="s">
        <v>340</v>
      </c>
      <c r="F46" s="214"/>
    </row>
    <row r="47" spans="3:15" x14ac:dyDescent="0.2">
      <c r="C47" s="232"/>
      <c r="D47" s="235"/>
      <c r="E47" s="211"/>
      <c r="F47" s="214"/>
    </row>
    <row r="48" spans="3:15" x14ac:dyDescent="0.2">
      <c r="C48" s="232"/>
      <c r="D48" s="215"/>
      <c r="E48" s="209"/>
      <c r="F48" s="214"/>
    </row>
    <row r="49" spans="3:6" x14ac:dyDescent="0.2">
      <c r="C49" s="228" t="s">
        <v>354</v>
      </c>
      <c r="D49" s="213" t="s">
        <v>344</v>
      </c>
      <c r="E49" s="215"/>
      <c r="F49" s="214"/>
    </row>
    <row r="50" spans="3:6" x14ac:dyDescent="0.2">
      <c r="C50" s="232"/>
      <c r="D50" s="213" t="s">
        <v>345</v>
      </c>
      <c r="E50" s="215"/>
      <c r="F50" s="214"/>
    </row>
    <row r="51" spans="3:6" x14ac:dyDescent="0.2">
      <c r="C51" s="148"/>
      <c r="D51" s="213" t="s">
        <v>348</v>
      </c>
      <c r="E51" s="215"/>
      <c r="F51" s="214"/>
    </row>
    <row r="52" spans="3:6" x14ac:dyDescent="0.2">
      <c r="C52" s="148"/>
      <c r="D52" s="213" t="s">
        <v>349</v>
      </c>
      <c r="E52" s="215"/>
      <c r="F52" s="214"/>
    </row>
    <row r="53" spans="3:6" x14ac:dyDescent="0.2">
      <c r="C53" s="148"/>
      <c r="D53" s="213" t="s">
        <v>346</v>
      </c>
      <c r="E53" s="215"/>
      <c r="F53" s="214"/>
    </row>
    <row r="55" spans="3:6" x14ac:dyDescent="0.2">
      <c r="E55" s="209"/>
      <c r="F55" s="209"/>
    </row>
    <row r="56" spans="3:6" x14ac:dyDescent="0.2">
      <c r="E56" s="209"/>
      <c r="F56" s="209"/>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6"/>
  <sheetViews>
    <sheetView showGridLines="0" zoomScale="115" zoomScaleNormal="115" workbookViewId="0">
      <selection activeCell="D5" sqref="D5"/>
    </sheetView>
  </sheetViews>
  <sheetFormatPr defaultColWidth="8.7109375" defaultRowHeight="15" x14ac:dyDescent="0.25"/>
  <cols>
    <col min="1" max="1" width="3" customWidth="1"/>
    <col min="2" max="2" width="3.42578125" customWidth="1"/>
    <col min="3" max="3" width="45.42578125" customWidth="1"/>
    <col min="4" max="4" width="80" customWidth="1"/>
  </cols>
  <sheetData>
    <row r="2" spans="3:4" ht="15.75" x14ac:dyDescent="0.25">
      <c r="C2" s="12" t="s">
        <v>0</v>
      </c>
    </row>
    <row r="4" spans="3:4" x14ac:dyDescent="0.25">
      <c r="C4" s="28"/>
      <c r="D4" s="29"/>
    </row>
    <row r="5" spans="3:4" ht="31.5" customHeight="1" x14ac:dyDescent="0.25">
      <c r="C5" s="25" t="s">
        <v>1</v>
      </c>
      <c r="D5" s="22"/>
    </row>
    <row r="6" spans="3:4" ht="30.75" customHeight="1" x14ac:dyDescent="0.25">
      <c r="C6" s="25" t="s">
        <v>2</v>
      </c>
      <c r="D6" s="22" t="s">
        <v>3</v>
      </c>
    </row>
    <row r="7" spans="3:4" ht="31.5" customHeight="1" x14ac:dyDescent="0.25">
      <c r="C7" s="25" t="s">
        <v>4</v>
      </c>
      <c r="D7" s="22"/>
    </row>
    <row r="8" spans="3:4" ht="45" customHeight="1" x14ac:dyDescent="0.25">
      <c r="C8" s="26" t="s">
        <v>5</v>
      </c>
      <c r="D8" s="23"/>
    </row>
    <row r="9" spans="3:4" x14ac:dyDescent="0.25">
      <c r="C9" s="26" t="s">
        <v>6</v>
      </c>
      <c r="D9" s="50">
        <v>0</v>
      </c>
    </row>
    <row r="10" spans="3:4" x14ac:dyDescent="0.25">
      <c r="C10" s="26" t="s">
        <v>7</v>
      </c>
      <c r="D10" s="50" cm="1">
        <f t="array" ref="D10">Introduced_Formula</f>
        <v>0</v>
      </c>
    </row>
    <row r="11" spans="3:4" x14ac:dyDescent="0.25">
      <c r="C11" s="26" t="s">
        <v>8</v>
      </c>
      <c r="D11" s="22">
        <v>2023</v>
      </c>
    </row>
    <row r="12" spans="3:4" x14ac:dyDescent="0.25">
      <c r="C12" s="26" t="s">
        <v>9</v>
      </c>
      <c r="D12" s="22">
        <v>2025</v>
      </c>
    </row>
    <row r="13" spans="3:4" x14ac:dyDescent="0.25">
      <c r="C13" s="26" t="s">
        <v>10</v>
      </c>
      <c r="D13" s="22">
        <v>2025</v>
      </c>
    </row>
    <row r="14" spans="3:4" x14ac:dyDescent="0.25">
      <c r="C14" s="26" t="s">
        <v>11</v>
      </c>
      <c r="D14" s="22">
        <v>10</v>
      </c>
    </row>
    <row r="15" spans="3:4" x14ac:dyDescent="0.25">
      <c r="C15" s="27" t="s">
        <v>12</v>
      </c>
      <c r="D15" s="24">
        <v>7.0000000000000007E-2</v>
      </c>
    </row>
    <row r="16" spans="3:4" x14ac:dyDescent="0.25">
      <c r="D16" s="32" t="s">
        <v>13</v>
      </c>
    </row>
  </sheetData>
  <protectedRanges>
    <protectedRange password="CC6C" sqref="D6:D7" name="Range1_5"/>
    <protectedRange password="CC6C" sqref="D5" name="Range1_1_1_1"/>
    <protectedRange password="CC6C" sqref="D8" name="Range1_4_1_1"/>
  </protectedRanges>
  <phoneticPr fontId="3" type="noConversion"/>
  <conditionalFormatting sqref="D9">
    <cfRule type="expression" dxfId="65" priority="1">
      <formula>OR($D$6="Multiple Repeal and Replace (One New title)", $D$6="Repeal and Replace", $D$6="Repeal Only")</formula>
    </cfRule>
  </conditionalFormatting>
  <dataValidations xWindow="1240" yWindow="915" count="1">
    <dataValidation type="whole" allowBlank="1" showInputMessage="1" showErrorMessage="1" prompt="If no regulations are being repealed, leave this blank." sqref="D10"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D12</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D13</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D14</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D15</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D11</xm:sqref>
        </x14:dataValidation>
        <x14:dataValidation type="list" allowBlank="1" showInputMessage="1" showErrorMessage="1" xr:uid="{E84C42EB-6E3A-47D6-82F2-0516BE5213EC}">
          <x14:formula1>
            <xm:f>Controls!$P$22:$P$26</xm:f>
          </x14:formula1>
          <xm:sqref>D6</xm:sqref>
        </x14:dataValidation>
        <x14:dataValidation type="list" showInputMessage="1" showErrorMessage="1" xr:uid="{503CBD6B-F650-450F-B1E0-C02162334656}">
          <x14:formula1>
            <xm:f>IF(D6=Controls!P22,List_Amendment_Repeal,IF(D6=Controls!P23,List_New_Regulation_Repeal,IF(D6=Controls!P24,List_Repeal_Only,(IF(D6=Controls!P25,List_Repeal_and_Replace_Repeal,TenCount)))))</xm:f>
          </x14:formula1>
          <xm:sqref>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M19"/>
  <sheetViews>
    <sheetView showGridLines="0" zoomScale="115" zoomScaleNormal="115" zoomScaleSheetLayoutView="50" workbookViewId="0">
      <selection activeCell="B17" sqref="B17"/>
    </sheetView>
  </sheetViews>
  <sheetFormatPr defaultColWidth="9.140625" defaultRowHeight="12" x14ac:dyDescent="0.25"/>
  <cols>
    <col min="1" max="1" width="12.85546875" style="122" customWidth="1"/>
    <col min="2" max="2" width="31.5703125" style="66" customWidth="1"/>
    <col min="3" max="3" width="17.28515625" style="66" customWidth="1"/>
    <col min="4" max="4" width="18.42578125" style="66" customWidth="1"/>
    <col min="5" max="5" width="21.7109375" style="66" customWidth="1"/>
    <col min="6" max="6" width="18.140625" style="66" customWidth="1"/>
    <col min="7" max="7" width="16.85546875" style="66" customWidth="1"/>
    <col min="8" max="8" width="16.28515625" style="66" customWidth="1"/>
    <col min="9" max="9" width="18.7109375" style="66" customWidth="1"/>
    <col min="10" max="10" width="19.85546875" style="66" customWidth="1"/>
    <col min="11" max="11" width="27.5703125" style="66" customWidth="1"/>
    <col min="12" max="16384" width="9.140625" style="66"/>
  </cols>
  <sheetData>
    <row r="2" spans="1:11" ht="15.75" x14ac:dyDescent="0.25">
      <c r="B2" s="12" t="s">
        <v>14</v>
      </c>
    </row>
    <row r="3" spans="1:11" x14ac:dyDescent="0.25">
      <c r="B3" s="63"/>
    </row>
    <row r="4" spans="1:11" x14ac:dyDescent="0.25">
      <c r="B4" s="63"/>
    </row>
    <row r="5" spans="1:11" x14ac:dyDescent="0.2">
      <c r="B5" s="15"/>
      <c r="C5" s="15"/>
      <c r="G5" s="144"/>
    </row>
    <row r="6" spans="1:11" x14ac:dyDescent="0.2">
      <c r="B6" s="15"/>
      <c r="C6" s="15"/>
    </row>
    <row r="7" spans="1:11" x14ac:dyDescent="0.2">
      <c r="B7" s="15"/>
      <c r="C7" s="15"/>
    </row>
    <row r="8" spans="1:11" x14ac:dyDescent="0.2">
      <c r="B8" s="15"/>
      <c r="C8" s="15"/>
    </row>
    <row r="9" spans="1:11" x14ac:dyDescent="0.2">
      <c r="B9" s="15"/>
      <c r="C9" s="15"/>
    </row>
    <row r="10" spans="1:11" x14ac:dyDescent="0.2">
      <c r="B10" s="64" t="s">
        <v>353</v>
      </c>
      <c r="C10" s="15"/>
    </row>
    <row r="11" spans="1:11" x14ac:dyDescent="0.2">
      <c r="B11" s="15"/>
      <c r="C11" s="15"/>
    </row>
    <row r="12" spans="1:11" x14ac:dyDescent="0.2">
      <c r="B12" s="15"/>
      <c r="C12" s="15"/>
    </row>
    <row r="13" spans="1:11" x14ac:dyDescent="0.2">
      <c r="B13" s="15"/>
      <c r="C13" s="15"/>
    </row>
    <row r="14" spans="1:11" x14ac:dyDescent="0.2">
      <c r="B14" s="15"/>
      <c r="C14" s="15"/>
    </row>
    <row r="15" spans="1:11" x14ac:dyDescent="0.2">
      <c r="B15" s="64"/>
    </row>
    <row r="16" spans="1:11" ht="24" x14ac:dyDescent="0.25">
      <c r="A16" s="122" t="str" cm="1">
        <f t="array" ref="A16:A18">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16" s="51" t="s">
        <v>15</v>
      </c>
      <c r="C16" s="52" t="s">
        <v>16</v>
      </c>
      <c r="D16" s="52" t="s">
        <v>17</v>
      </c>
      <c r="E16" s="52" t="s">
        <v>18</v>
      </c>
      <c r="F16" s="52" t="s">
        <v>19</v>
      </c>
      <c r="G16" s="52" t="s">
        <v>20</v>
      </c>
      <c r="H16" s="52" t="s">
        <v>21</v>
      </c>
      <c r="I16" s="52" t="s">
        <v>22</v>
      </c>
      <c r="J16" s="53" t="s">
        <v>23</v>
      </c>
      <c r="K16" s="52" t="s">
        <v>45</v>
      </c>
    </row>
    <row r="17" spans="1:13" x14ac:dyDescent="0.25">
      <c r="A17" s="122" t="str">
        <v>Type Here ⮚</v>
      </c>
      <c r="B17" s="54"/>
      <c r="C17" s="126"/>
      <c r="D17" s="55"/>
      <c r="E17" s="55"/>
      <c r="F17" s="131">
        <f>tbl_Stakeholders[[#This Row],[Small Business Count]]+tbl_Stakeholders[[#This Row],[Med/Large Business Count]]</f>
        <v>0</v>
      </c>
      <c r="G17" s="65">
        <f>tbl_Stakeholders[[#This Row],[Total Business Count]]+tbl_Stakeholders[[#This Row],[Non-business Count]]</f>
        <v>0</v>
      </c>
      <c r="H17" s="104"/>
      <c r="I17" s="104"/>
      <c r="J17" s="104"/>
      <c r="K17" s="146"/>
      <c r="L17" s="147"/>
      <c r="M17" s="143"/>
    </row>
    <row r="18" spans="1:13" x14ac:dyDescent="0.25">
      <c r="A18" s="122" t="str">
        <v/>
      </c>
      <c r="L18" s="147"/>
      <c r="M18" s="143"/>
    </row>
    <row r="19" spans="1:13" x14ac:dyDescent="0.25">
      <c r="L19" s="147"/>
    </row>
  </sheetData>
  <dataValidations xWindow="236" yWindow="429" count="2">
    <dataValidation type="decimal" allowBlank="1" showInputMessage="1" showErrorMessage="1" sqref="H17" xr:uid="{CB066EC4-4689-4F77-AE73-B955BF9CEE1D}">
      <formula1>-0.99</formula1>
      <formula2>1</formula2>
    </dataValidation>
    <dataValidation allowBlank="1" showInputMessage="1" showErrorMessage="1" prompt="Use a unique name for each stakeholder group." sqref="B17" xr:uid="{A5FB283C-3AB1-41FA-95E5-6B1A366DC4E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2:V16"/>
  <sheetViews>
    <sheetView showGridLines="0" zoomScale="85" zoomScaleNormal="85" zoomScaleSheetLayoutView="50" workbookViewId="0">
      <selection activeCell="B15" sqref="B15"/>
    </sheetView>
  </sheetViews>
  <sheetFormatPr defaultColWidth="9.140625" defaultRowHeight="12" outlineLevelCol="1" x14ac:dyDescent="0.2"/>
  <cols>
    <col min="1" max="1" width="11.42578125" style="246" customWidth="1" outlineLevel="1"/>
    <col min="2" max="2" width="30" style="248" customWidth="1"/>
    <col min="3" max="3" width="15.5703125" style="248" customWidth="1"/>
    <col min="4" max="4" width="6.140625" style="248" customWidth="1"/>
    <col min="5" max="5" width="10.42578125" style="248" customWidth="1"/>
    <col min="6" max="7" width="21.85546875" style="248" customWidth="1"/>
    <col min="8" max="8" width="13.140625" style="248" customWidth="1"/>
    <col min="9" max="9" width="12.5703125" style="248" customWidth="1"/>
    <col min="10" max="10" width="10.140625" style="248" customWidth="1"/>
    <col min="11" max="11" width="14.5703125" style="248" customWidth="1"/>
    <col min="12" max="12" width="10.140625" style="248" customWidth="1"/>
    <col min="13" max="13" width="8.28515625" style="248" customWidth="1"/>
    <col min="14" max="14" width="9.28515625" style="248" customWidth="1"/>
    <col min="15" max="15" width="9.5703125" style="248" customWidth="1"/>
    <col min="16" max="16" width="10.5703125" style="248" customWidth="1"/>
    <col min="17" max="17" width="11.28515625" style="248" customWidth="1"/>
    <col min="18" max="18" width="8.7109375" style="248" customWidth="1"/>
    <col min="19" max="19" width="12.28515625" style="248" customWidth="1"/>
    <col min="20" max="20" width="34" style="248" customWidth="1"/>
    <col min="21" max="21" width="56.7109375" style="260" customWidth="1" outlineLevel="1"/>
    <col min="22" max="22" width="20.5703125" style="248" customWidth="1" outlineLevel="1"/>
    <col min="23" max="16384" width="9.140625" style="248"/>
  </cols>
  <sheetData>
    <row r="2" spans="1:22" ht="15.75" x14ac:dyDescent="0.25">
      <c r="B2" s="247" t="s">
        <v>24</v>
      </c>
      <c r="N2" s="249"/>
    </row>
    <row r="3" spans="1:22" x14ac:dyDescent="0.2">
      <c r="B3" s="250"/>
      <c r="N3" s="249"/>
    </row>
    <row r="4" spans="1:22" ht="15" x14ac:dyDescent="0.25">
      <c r="B4" s="250"/>
      <c r="I4" s="251"/>
      <c r="N4" s="249"/>
      <c r="O4" s="251"/>
      <c r="U4" s="261"/>
    </row>
    <row r="5" spans="1:22" x14ac:dyDescent="0.2">
      <c r="N5" s="249"/>
      <c r="T5" s="252"/>
    </row>
    <row r="6" spans="1:22" x14ac:dyDescent="0.2">
      <c r="N6" s="249"/>
      <c r="T6" s="252"/>
    </row>
    <row r="7" spans="1:22" x14ac:dyDescent="0.2">
      <c r="N7" s="249"/>
      <c r="T7" s="252"/>
    </row>
    <row r="8" spans="1:22" x14ac:dyDescent="0.2">
      <c r="N8" s="249"/>
      <c r="T8" s="252"/>
    </row>
    <row r="9" spans="1:22" ht="15" x14ac:dyDescent="0.25">
      <c r="N9" s="249"/>
      <c r="T9" s="252"/>
      <c r="U9" s="262"/>
    </row>
    <row r="10" spans="1:22" x14ac:dyDescent="0.2">
      <c r="N10" s="249"/>
      <c r="T10" s="252"/>
    </row>
    <row r="11" spans="1:22" x14ac:dyDescent="0.2">
      <c r="N11" s="249"/>
      <c r="T11" s="252"/>
    </row>
    <row r="12" spans="1:22" x14ac:dyDescent="0.2">
      <c r="N12" s="249"/>
      <c r="T12" s="252"/>
    </row>
    <row r="13" spans="1:22" x14ac:dyDescent="0.2">
      <c r="B13" s="253"/>
      <c r="N13" s="249"/>
      <c r="T13" s="252"/>
    </row>
    <row r="14" spans="1:22" ht="48" x14ac:dyDescent="0.2">
      <c r="A14" s="254" t="str" cm="1">
        <f t="array" ref="A14:A16">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4" s="255" t="s">
        <v>25</v>
      </c>
      <c r="C14" s="256" t="s">
        <v>26</v>
      </c>
      <c r="D14" s="256" t="s">
        <v>27</v>
      </c>
      <c r="E14" s="256" t="s">
        <v>28</v>
      </c>
      <c r="F14" s="256" t="s">
        <v>29</v>
      </c>
      <c r="G14" s="256" t="s">
        <v>30</v>
      </c>
      <c r="H14" s="256" t="s">
        <v>31</v>
      </c>
      <c r="I14" s="256" t="s">
        <v>32</v>
      </c>
      <c r="J14" s="257" t="s">
        <v>33</v>
      </c>
      <c r="K14" s="256" t="s">
        <v>34</v>
      </c>
      <c r="L14" s="256" t="s">
        <v>35</v>
      </c>
      <c r="M14" s="256" t="s">
        <v>36</v>
      </c>
      <c r="N14" s="256" t="s">
        <v>37</v>
      </c>
      <c r="O14" s="256" t="s">
        <v>38</v>
      </c>
      <c r="P14" s="256" t="s">
        <v>39</v>
      </c>
      <c r="Q14" s="256" t="s">
        <v>40</v>
      </c>
      <c r="R14" s="256" t="s">
        <v>41</v>
      </c>
      <c r="S14" s="256" t="s">
        <v>42</v>
      </c>
      <c r="T14" s="256" t="s">
        <v>43</v>
      </c>
      <c r="U14" s="263" t="s">
        <v>44</v>
      </c>
      <c r="V14" s="258" t="s">
        <v>45</v>
      </c>
    </row>
    <row r="15" spans="1:22" ht="36" x14ac:dyDescent="0.2">
      <c r="A15" s="246" t="str">
        <v>Type Here ⮚</v>
      </c>
      <c r="B15" s="134"/>
      <c r="C15" s="126"/>
      <c r="D15" s="126"/>
      <c r="E15" s="126"/>
      <c r="F15" s="132"/>
      <c r="G15" s="132"/>
      <c r="H15" s="126"/>
      <c r="I15" s="126"/>
      <c r="J15" s="239"/>
      <c r="K15" s="126"/>
      <c r="L15" s="126"/>
      <c r="M15" s="127"/>
      <c r="N15" s="128"/>
      <c r="O15" s="129"/>
      <c r="P15" s="128"/>
      <c r="Q15" s="130"/>
      <c r="R15" s="149"/>
      <c r="S15" s="127"/>
      <c r="T15" s="133"/>
      <c r="U15" s="264" t="str" cm="1">
        <f t="array" ref="U15">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f>
        <v xml:space="preserve">Some information is missing for this activity. This activity does not apply to anyone. This activity does not result in any incremental impact. </v>
      </c>
      <c r="V15" s="259"/>
    </row>
    <row r="16" spans="1:22" x14ac:dyDescent="0.2">
      <c r="A16" s="246" t="str">
        <v/>
      </c>
    </row>
  </sheetData>
  <sheetProtection formatCells="0" formatColumns="0" formatRows="0" insertColumns="0" insertRows="0" insertHyperlinks="0" deleteColumns="0" deleteRows="0" sort="0" autoFilter="0" pivotTables="0"/>
  <phoneticPr fontId="3" type="noConversion"/>
  <conditionalFormatting sqref="N15:P15">
    <cfRule type="expression" dxfId="64" priority="4">
      <formula>$M15="Capital"</formula>
    </cfRule>
  </conditionalFormatting>
  <conditionalFormatting sqref="R15:T15">
    <cfRule type="expression" dxfId="63" priority="6">
      <formula>$M15="Capital"</formula>
    </cfRule>
  </conditionalFormatting>
  <conditionalFormatting sqref="U15">
    <cfRule type="expression" dxfId="62" priority="1">
      <formula>IF(U15="This activity does not result in any incremental impact. ", 1, 0)</formula>
    </cfRule>
    <cfRule type="notContainsBlanks" dxfId="61" priority="175">
      <formula>LEN(TRIM(U15))&gt;0</formula>
    </cfRule>
  </conditionalFormatting>
  <dataValidations xWindow="1516" yWindow="753" count="9">
    <dataValidation type="list" allowBlank="1" showInputMessage="1" showErrorMessage="1" sqref="E15" xr:uid="{460C5C2F-EEE8-4167-BDB5-1E4C0FFCB138}">
      <formula1>"Upfront, Ongoing"</formula1>
    </dataValidation>
    <dataValidation type="list" allowBlank="1" showInputMessage="1" showErrorMessage="1" prompt="For the small business lens, OUTs are reported as Benefits and INs are reported as Costs. " sqref="D15" xr:uid="{09ED7D9F-B656-484C-BE84-18E8D913CF82}">
      <formula1>"In, Out"</formula1>
    </dataValidation>
    <dataValidation type="list" allowBlank="1" showInputMessage="1" showErrorMessage="1" sqref="C15" xr:uid="{934F97BB-4FB1-49ED-A528-53650C635A78}">
      <formula1>"Administrative, Compliance"</formula1>
    </dataValidation>
    <dataValidation type="list" allowBlank="1" showInputMessage="1" showErrorMessage="1" sqref="I15" xr:uid="{F82A2A7F-4CDB-414E-A200-D1C989AEDB62}">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5" xr:uid="{3FD98D3F-DC57-4220-966D-8AAB52900A8D}">
      <formula1>"Capital, Labour"</formula1>
    </dataValidation>
    <dataValidation type="decimal" allowBlank="1" showInputMessage="1" showErrorMessage="1" sqref="J15" xr:uid="{50BEA7C6-4D6B-4C27-8908-CA68E6DC65ED}">
      <formula1>0</formula1>
      <formula2>1</formula2>
    </dataValidation>
    <dataValidation type="list" allowBlank="1" showInputMessage="1" showErrorMessage="1" prompt="If this column is blank, no overhead will be added to the wage." sqref="S15" xr:uid="{EB0DCF63-55A7-4FEA-916F-581138BD53A7}">
      <formula1>"Internal (25%), External (50%)"</formula1>
    </dataValidation>
    <dataValidation type="list" allowBlank="1" showInputMessage="1" showErrorMessage="1" sqref="K15:L15" xr:uid="{327D9C03-2894-4A2D-BBF2-36752F4AE158}">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5" xr:uid="{8D7FB6E1-9F2E-44FD-B0CB-717D1931D95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5">
        <x14:dataValidation type="list" allowBlank="1" showInputMessage="1" showErrorMessage="1" xr:uid="{31A1305E-285E-4E76-A500-60BDB4D870AD}">
          <x14:formula1>
            <xm:f>_xlfn.ANCHORARRAY(Controls!$B$2)</xm:f>
          </x14:formula1>
          <xm:sqref>H15</xm:sqref>
        </x14:dataValidation>
        <x14:dataValidation type="list" allowBlank="1" showInputMessage="1" showErrorMessage="1" xr:uid="{39B9FD12-731C-4099-888C-141195DBC4FD}">
          <x14:formula1>
            <xm:f>_xlfn.ANCHORARRAY(Controls!$F$2)</xm:f>
          </x14:formula1>
          <xm:sqref>P15</xm:sqref>
        </x14:dataValidation>
        <x14:dataValidation type="list" allowBlank="1" showInputMessage="1" prompt="Enter custom wages on Labour tab, then they will appear in this list." xr:uid="{5DE6CACC-1F5A-4AA0-8F4E-3B6B6E06178F}">
          <x14:formula1>
            <xm:f>_xlfn.ANCHORARRAY(Controls!$I$2)</xm:f>
          </x14:formula1>
          <xm:sqref>T15</xm:sqref>
        </x14:dataValidation>
        <x14:dataValidation type="list" allowBlank="1" showInputMessage="1" showErrorMessage="1" prompt="Choose a value less than or equal to the End Year of this activity" xr:uid="{87E7463D-B6BC-4150-87B1-B8A72AB68E70}">
          <x14:formula1>
            <xm:f>_xlfn.ANCHORARRAY(Controls!$G$2)</xm:f>
          </x14:formula1>
          <xm:sqref>F15</xm:sqref>
        </x14:dataValidation>
        <x14:dataValidation type="list" allowBlank="1" showInputMessage="1" showErrorMessage="1" prompt="Choose a value greater than or equal to the Start Year of this activity" xr:uid="{06035F38-104C-4558-8844-E8F51AA2F315}">
          <x14:formula1>
            <xm:f>_xlfn.ANCHORARRAY(Controls!$G$2)</xm:f>
          </x14:formula1>
          <xm:sqref>G15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2:N47"/>
  <sheetViews>
    <sheetView showGridLines="0" zoomScale="85" zoomScaleNormal="85" workbookViewId="0">
      <selection activeCell="C17" sqref="C17"/>
    </sheetView>
  </sheetViews>
  <sheetFormatPr defaultColWidth="9.140625" defaultRowHeight="12" x14ac:dyDescent="0.2"/>
  <cols>
    <col min="1" max="1" width="4" style="15" customWidth="1"/>
    <col min="2" max="2" width="72.28515625" style="21" customWidth="1"/>
    <col min="3" max="3" width="17.85546875" style="15" customWidth="1"/>
    <col min="4" max="14" width="15.85546875" style="15" customWidth="1"/>
    <col min="15" max="15" width="16.140625" style="15" customWidth="1"/>
    <col min="16" max="16" width="19.5703125" style="15" customWidth="1"/>
    <col min="17" max="16384" width="9.140625" style="15"/>
  </cols>
  <sheetData>
    <row r="2" spans="2:3" ht="15.75" x14ac:dyDescent="0.25">
      <c r="B2" s="38" t="s">
        <v>46</v>
      </c>
    </row>
    <row r="3" spans="2:3" x14ac:dyDescent="0.2">
      <c r="B3" s="39"/>
    </row>
    <row r="4" spans="2:3" x14ac:dyDescent="0.2">
      <c r="B4" s="39"/>
    </row>
    <row r="5" spans="2:3" x14ac:dyDescent="0.2">
      <c r="B5" s="33" t="s">
        <v>47</v>
      </c>
    </row>
    <row r="6" spans="2:3" x14ac:dyDescent="0.2">
      <c r="B6" s="90" t="s">
        <v>48</v>
      </c>
      <c r="C6" s="145">
        <f>SUM(tbl_Stakeholders[Total Business Count])</f>
        <v>0</v>
      </c>
    </row>
    <row r="7" spans="2:3" x14ac:dyDescent="0.2">
      <c r="B7" s="91" t="s">
        <v>49</v>
      </c>
      <c r="C7" s="92" t="str">
        <f>"10 ("&amp;YearOfRegistration&amp;" to "&amp;YearOfRegistration+10-1&amp;")"</f>
        <v>10 (2025 to 2034)</v>
      </c>
    </row>
    <row r="8" spans="2:3" x14ac:dyDescent="0.2">
      <c r="B8" s="91" t="s">
        <v>50</v>
      </c>
      <c r="C8" s="92">
        <v>2012</v>
      </c>
    </row>
    <row r="9" spans="2:3" x14ac:dyDescent="0.2">
      <c r="B9" s="91" t="s">
        <v>51</v>
      </c>
      <c r="C9" s="93">
        <v>7.0000000000000007E-2</v>
      </c>
    </row>
    <row r="10" spans="2:3" x14ac:dyDescent="0.2">
      <c r="B10" s="94" t="s">
        <v>52</v>
      </c>
      <c r="C10" s="95">
        <v>2012</v>
      </c>
    </row>
    <row r="11" spans="2:3" x14ac:dyDescent="0.2">
      <c r="B11" s="40"/>
      <c r="C11" s="34"/>
    </row>
    <row r="12" spans="2:3" x14ac:dyDescent="0.2">
      <c r="B12" s="40"/>
      <c r="C12" s="34"/>
    </row>
    <row r="13" spans="2:3" x14ac:dyDescent="0.2">
      <c r="B13" s="40"/>
      <c r="C13" s="34"/>
    </row>
    <row r="14" spans="2:3" x14ac:dyDescent="0.2">
      <c r="B14" s="33" t="s">
        <v>53</v>
      </c>
      <c r="C14" s="34"/>
    </row>
    <row r="15" spans="2:3" x14ac:dyDescent="0.2">
      <c r="B15" s="67" t="s">
        <v>54</v>
      </c>
      <c r="C15" s="70">
        <f>$M$47</f>
        <v>0</v>
      </c>
    </row>
    <row r="16" spans="2:3" x14ac:dyDescent="0.2">
      <c r="B16" s="68" t="s">
        <v>55</v>
      </c>
      <c r="C16" s="71">
        <f>IFERROR($C$15/$C$6, 0)</f>
        <v>0</v>
      </c>
    </row>
    <row r="17" spans="2:14" x14ac:dyDescent="0.2">
      <c r="B17" s="68" t="s">
        <v>56</v>
      </c>
      <c r="C17" s="115">
        <f>$C$15*AF_7_10</f>
        <v>0</v>
      </c>
    </row>
    <row r="18" spans="2:14" x14ac:dyDescent="0.2">
      <c r="B18" s="69" t="s">
        <v>57</v>
      </c>
      <c r="C18" s="72">
        <f>IFERROR($C$17/$C$6, 0)</f>
        <v>0</v>
      </c>
    </row>
    <row r="19" spans="2:14" x14ac:dyDescent="0.2">
      <c r="B19" s="35" t="s">
        <v>58</v>
      </c>
    </row>
    <row r="20" spans="2:14" x14ac:dyDescent="0.2">
      <c r="B20" s="41"/>
    </row>
    <row r="21" spans="2:14" x14ac:dyDescent="0.2">
      <c r="B21" s="44" t="str" cm="1">
        <f t="array" ref="B21">IF(NoErrors, "", "There are unresolved errors on the Activities sheet.")</f>
        <v>There are unresolved errors on the Activities sheet.</v>
      </c>
    </row>
    <row r="22" spans="2:14" x14ac:dyDescent="0.2">
      <c r="B22" s="41"/>
    </row>
    <row r="23" spans="2:14" ht="23.25" x14ac:dyDescent="0.35">
      <c r="B23" s="102" t="s">
        <v>59</v>
      </c>
    </row>
    <row r="24" spans="2:14" ht="409.5" customHeight="1" x14ac:dyDescent="0.2">
      <c r="B24" s="105" t="str">
        <f>OneforOneText</f>
        <v>The one-for-one rule does not apply as there is no impact on business.</v>
      </c>
      <c r="C24" s="96"/>
      <c r="D24" s="97"/>
      <c r="E24" s="97"/>
    </row>
    <row r="26" spans="2:14" x14ac:dyDescent="0.2">
      <c r="B26" s="36" t="s">
        <v>60</v>
      </c>
    </row>
    <row r="27" spans="2:14" x14ac:dyDescent="0.2">
      <c r="B27" s="36"/>
    </row>
    <row r="28" spans="2:14" x14ac:dyDescent="0.2">
      <c r="B28" s="33" t="s">
        <v>61</v>
      </c>
    </row>
    <row r="29" spans="2:14" x14ac:dyDescent="0.2">
      <c r="B29" s="42" t="s">
        <v>62</v>
      </c>
      <c r="C29" s="10" cm="1">
        <f t="array" ref="C29:L29">_xlfn.SEQUENCE(,10, YearOfRegistration)</f>
        <v>2025</v>
      </c>
      <c r="D29" s="10">
        <v>2026</v>
      </c>
      <c r="E29" s="10">
        <v>2027</v>
      </c>
      <c r="F29" s="10">
        <v>2028</v>
      </c>
      <c r="G29" s="10">
        <v>2029</v>
      </c>
      <c r="H29" s="10">
        <v>2030</v>
      </c>
      <c r="I29" s="10">
        <v>2031</v>
      </c>
      <c r="J29" s="10">
        <v>2032</v>
      </c>
      <c r="K29" s="10">
        <v>2033</v>
      </c>
      <c r="L29" s="10">
        <v>2034</v>
      </c>
      <c r="M29" s="9" t="s">
        <v>63</v>
      </c>
      <c r="N29" s="9" t="s">
        <v>64</v>
      </c>
    </row>
    <row r="30" spans="2:14" x14ac:dyDescent="0.2">
      <c r="B30" s="43" t="str">
        <f>"Undiscounted Impacts ("&amp;PriceYear&amp;" price year)"</f>
        <v>Undiscounted Impacts (2023 price year)</v>
      </c>
      <c r="C30" s="11" cm="1">
        <f t="array" ref="C30:L30">SUMIFS(_xlfn.ANCHORARRAY('Full Output'!Q2),_xlfn.ANCHORARRAY( 'Full Output'!C2), "Administrative",_xlfn.ANCHORARRAY( 'Full Output'!D2), "In",_xlfn.ANCHORARRAY( 'Full Output'!E2),_xlfn.ANCHORARRAY( C29))</f>
        <v>0</v>
      </c>
      <c r="D30" s="11">
        <v>0</v>
      </c>
      <c r="E30" s="11">
        <v>0</v>
      </c>
      <c r="F30" s="11">
        <v>0</v>
      </c>
      <c r="G30" s="11">
        <v>0</v>
      </c>
      <c r="H30" s="11">
        <v>0</v>
      </c>
      <c r="I30" s="11">
        <v>0</v>
      </c>
      <c r="J30" s="11">
        <v>0</v>
      </c>
      <c r="K30" s="11">
        <v>0</v>
      </c>
      <c r="L30" s="11">
        <v>0</v>
      </c>
      <c r="M30" s="11">
        <f>SUM(_xlfn.ANCHORARRAY(C30))</f>
        <v>0</v>
      </c>
      <c r="N30" s="11" t="s">
        <v>65</v>
      </c>
    </row>
    <row r="31" spans="2:14" x14ac:dyDescent="0.2">
      <c r="B31" s="43" t="str">
        <f>"Discounted Impacts ("&amp;PriceYear&amp;" price year, 7% discount rate, "&amp;PVBaseYear&amp; " discount base year)"</f>
        <v>Discounted Impacts (2023 price year, 7% discount rate, 2025 discount base year)</v>
      </c>
      <c r="C31" s="11" cm="1">
        <f t="array" ref="C31:L31">SUMIFS(_xlfn.ANCHORARRAY('Full Output'!X2),_xlfn.ANCHORARRAY( 'Full Output'!D2), "In",_xlfn.ANCHORARRAY( 'Full Output'!E2),_xlfn.ANCHORARRAY( C29))</f>
        <v>0</v>
      </c>
      <c r="D31" s="11">
        <v>0</v>
      </c>
      <c r="E31" s="11">
        <v>0</v>
      </c>
      <c r="F31" s="11">
        <v>0</v>
      </c>
      <c r="G31" s="11">
        <v>0</v>
      </c>
      <c r="H31" s="11">
        <v>0</v>
      </c>
      <c r="I31" s="11">
        <v>0</v>
      </c>
      <c r="J31" s="11">
        <v>0</v>
      </c>
      <c r="K31" s="11">
        <v>0</v>
      </c>
      <c r="L31" s="11">
        <v>0</v>
      </c>
      <c r="M31" s="11">
        <f>SUM(_xlfn.ANCHORARRAY(C31))</f>
        <v>0</v>
      </c>
      <c r="N31" s="11">
        <f>M31*AF_7_10</f>
        <v>0</v>
      </c>
    </row>
    <row r="32" spans="2:14" x14ac:dyDescent="0.2">
      <c r="B32" s="43" t="s">
        <v>66</v>
      </c>
      <c r="C32" s="11" cm="1">
        <f t="array" ref="C32:L32">_xlfn.ANCHORARRAY(C30)*OneforOne_CPI_Conversion</f>
        <v>0</v>
      </c>
      <c r="D32" s="11">
        <v>0</v>
      </c>
      <c r="E32" s="11">
        <v>0</v>
      </c>
      <c r="F32" s="11">
        <v>0</v>
      </c>
      <c r="G32" s="11">
        <v>0</v>
      </c>
      <c r="H32" s="11">
        <v>0</v>
      </c>
      <c r="I32" s="11">
        <v>0</v>
      </c>
      <c r="J32" s="11">
        <v>0</v>
      </c>
      <c r="K32" s="11">
        <v>0</v>
      </c>
      <c r="L32" s="11">
        <v>0</v>
      </c>
      <c r="M32" s="11">
        <f>SUM(_xlfn.ANCHORARRAY(C32))</f>
        <v>0</v>
      </c>
      <c r="N32" s="11" t="s">
        <v>65</v>
      </c>
    </row>
    <row r="33" spans="2:14" x14ac:dyDescent="0.2">
      <c r="B33" s="43" t="s">
        <v>67</v>
      </c>
      <c r="C33" s="11" cm="1">
        <f t="array" ref="C33:L33">_xlfn.ANCHORARRAY(C31)*OneforOne_CPI_Conversion/(1.07)^Years_since_2012</f>
        <v>0</v>
      </c>
      <c r="D33" s="11">
        <v>0</v>
      </c>
      <c r="E33" s="11">
        <v>0</v>
      </c>
      <c r="F33" s="11">
        <v>0</v>
      </c>
      <c r="G33" s="11">
        <v>0</v>
      </c>
      <c r="H33" s="11">
        <v>0</v>
      </c>
      <c r="I33" s="11">
        <v>0</v>
      </c>
      <c r="J33" s="11">
        <v>0</v>
      </c>
      <c r="K33" s="11">
        <v>0</v>
      </c>
      <c r="L33" s="11">
        <v>0</v>
      </c>
      <c r="M33" s="11">
        <f>SUM(_xlfn.ANCHORARRAY(C33))</f>
        <v>0</v>
      </c>
      <c r="N33" s="11">
        <f>M33*AF_7_10</f>
        <v>0</v>
      </c>
    </row>
    <row r="34" spans="2:14" x14ac:dyDescent="0.2">
      <c r="B34" s="37"/>
    </row>
    <row r="35" spans="2:14" x14ac:dyDescent="0.2">
      <c r="B35" s="33" t="s">
        <v>68</v>
      </c>
    </row>
    <row r="36" spans="2:14" x14ac:dyDescent="0.2">
      <c r="B36" s="42" t="s">
        <v>62</v>
      </c>
      <c r="C36" s="10" cm="1">
        <f t="array" ref="C36:L36">_xlfn.SEQUENCE(,10, YearOfRegistration)</f>
        <v>2025</v>
      </c>
      <c r="D36" s="10">
        <v>2026</v>
      </c>
      <c r="E36" s="10">
        <v>2027</v>
      </c>
      <c r="F36" s="10">
        <v>2028</v>
      </c>
      <c r="G36" s="10">
        <v>2029</v>
      </c>
      <c r="H36" s="10">
        <v>2030</v>
      </c>
      <c r="I36" s="10">
        <v>2031</v>
      </c>
      <c r="J36" s="10">
        <v>2032</v>
      </c>
      <c r="K36" s="10">
        <v>2033</v>
      </c>
      <c r="L36" s="10">
        <v>2034</v>
      </c>
      <c r="M36" s="9" t="s">
        <v>63</v>
      </c>
      <c r="N36" s="9" t="s">
        <v>64</v>
      </c>
    </row>
    <row r="37" spans="2:14" x14ac:dyDescent="0.2">
      <c r="B37" s="43" t="str">
        <f>"Undiscounted Impacts ("&amp;PriceYear&amp;" price year)"</f>
        <v>Undiscounted Impacts (2023 price year)</v>
      </c>
      <c r="C37" s="11" cm="1">
        <f t="array" ref="C37:L37">-SUMIFS(_xlfn.ANCHORARRAY('Full Output'!Q2),_xlfn.ANCHORARRAY( 'Full Output'!C2), "Administrative",_xlfn.ANCHORARRAY( 'Full Output'!D2), "Out",_xlfn.ANCHORARRAY( 'Full Output'!E2),_xlfn.ANCHORARRAY( C36))</f>
        <v>0</v>
      </c>
      <c r="D37" s="11">
        <v>0</v>
      </c>
      <c r="E37" s="11">
        <v>0</v>
      </c>
      <c r="F37" s="11">
        <v>0</v>
      </c>
      <c r="G37" s="11">
        <v>0</v>
      </c>
      <c r="H37" s="11">
        <v>0</v>
      </c>
      <c r="I37" s="11">
        <v>0</v>
      </c>
      <c r="J37" s="11">
        <v>0</v>
      </c>
      <c r="K37" s="11">
        <v>0</v>
      </c>
      <c r="L37" s="11">
        <v>0</v>
      </c>
      <c r="M37" s="11">
        <f>SUM(_xlfn.ANCHORARRAY(C37))</f>
        <v>0</v>
      </c>
      <c r="N37" s="11" t="s">
        <v>65</v>
      </c>
    </row>
    <row r="38" spans="2:14" x14ac:dyDescent="0.2">
      <c r="B38" s="43" t="str">
        <f>"Discounted Impacts ("&amp;PriceYear&amp;" price year, 7% discount rate, "&amp;PVBaseYear&amp; " discount base year)"</f>
        <v>Discounted Impacts (2023 price year, 7% discount rate, 2025 discount base year)</v>
      </c>
      <c r="C38" s="11" cm="1">
        <f t="array" ref="C38:L38">-SUMIFS(_xlfn.ANCHORARRAY('Full Output'!X2),_xlfn.ANCHORARRAY( 'Full Output'!D2), "Out",_xlfn.ANCHORARRAY( 'Full Output'!E2),_xlfn.ANCHORARRAY( C36))</f>
        <v>0</v>
      </c>
      <c r="D38" s="11">
        <v>0</v>
      </c>
      <c r="E38" s="11">
        <v>0</v>
      </c>
      <c r="F38" s="11">
        <v>0</v>
      </c>
      <c r="G38" s="11">
        <v>0</v>
      </c>
      <c r="H38" s="11">
        <v>0</v>
      </c>
      <c r="I38" s="11">
        <v>0</v>
      </c>
      <c r="J38" s="11">
        <v>0</v>
      </c>
      <c r="K38" s="11">
        <v>0</v>
      </c>
      <c r="L38" s="11">
        <v>0</v>
      </c>
      <c r="M38" s="11">
        <f>SUM(_xlfn.ANCHORARRAY(C38))</f>
        <v>0</v>
      </c>
      <c r="N38" s="11">
        <f>M38*AF_7_10</f>
        <v>0</v>
      </c>
    </row>
    <row r="39" spans="2:14" x14ac:dyDescent="0.2">
      <c r="B39" s="43" t="s">
        <v>66</v>
      </c>
      <c r="C39" s="11" cm="1">
        <f t="array" ref="C39:L39">_xlfn.ANCHORARRAY(C37)*OneforOne_CPI_Conversion</f>
        <v>0</v>
      </c>
      <c r="D39" s="11">
        <v>0</v>
      </c>
      <c r="E39" s="11">
        <v>0</v>
      </c>
      <c r="F39" s="11">
        <v>0</v>
      </c>
      <c r="G39" s="11">
        <v>0</v>
      </c>
      <c r="H39" s="11">
        <v>0</v>
      </c>
      <c r="I39" s="11">
        <v>0</v>
      </c>
      <c r="J39" s="11">
        <v>0</v>
      </c>
      <c r="K39" s="11">
        <v>0</v>
      </c>
      <c r="L39" s="11">
        <v>0</v>
      </c>
      <c r="M39" s="11">
        <f>SUM(_xlfn.ANCHORARRAY(C39))</f>
        <v>0</v>
      </c>
      <c r="N39" s="11" t="s">
        <v>65</v>
      </c>
    </row>
    <row r="40" spans="2:14" x14ac:dyDescent="0.2">
      <c r="B40" s="43" t="s">
        <v>67</v>
      </c>
      <c r="C40" s="11" cm="1">
        <f t="array" ref="C40:L40">_xlfn.ANCHORARRAY(C38)*OneforOne_CPI_Conversion/(1.07)^Years_since_2012</f>
        <v>0</v>
      </c>
      <c r="D40" s="11">
        <v>0</v>
      </c>
      <c r="E40" s="11">
        <v>0</v>
      </c>
      <c r="F40" s="11">
        <v>0</v>
      </c>
      <c r="G40" s="11">
        <v>0</v>
      </c>
      <c r="H40" s="11">
        <v>0</v>
      </c>
      <c r="I40" s="11">
        <v>0</v>
      </c>
      <c r="J40" s="11">
        <v>0</v>
      </c>
      <c r="K40" s="11">
        <v>0</v>
      </c>
      <c r="L40" s="11">
        <v>0</v>
      </c>
      <c r="M40" s="11">
        <f>SUM(_xlfn.ANCHORARRAY(C40))</f>
        <v>0</v>
      </c>
      <c r="N40" s="11">
        <f>M40*AF_7_10</f>
        <v>0</v>
      </c>
    </row>
    <row r="41" spans="2:14" x14ac:dyDescent="0.2">
      <c r="B41" s="37"/>
    </row>
    <row r="42" spans="2:14" x14ac:dyDescent="0.2">
      <c r="B42" s="33" t="s">
        <v>69</v>
      </c>
    </row>
    <row r="43" spans="2:14" x14ac:dyDescent="0.2">
      <c r="B43" s="42" t="s">
        <v>62</v>
      </c>
      <c r="C43" s="10" cm="1">
        <f t="array" ref="C43:L43">_xlfn.SEQUENCE(,10, YearOfRegistration)</f>
        <v>2025</v>
      </c>
      <c r="D43" s="10">
        <v>2026</v>
      </c>
      <c r="E43" s="10">
        <v>2027</v>
      </c>
      <c r="F43" s="10">
        <v>2028</v>
      </c>
      <c r="G43" s="10">
        <v>2029</v>
      </c>
      <c r="H43" s="10">
        <v>2030</v>
      </c>
      <c r="I43" s="10">
        <v>2031</v>
      </c>
      <c r="J43" s="10">
        <v>2032</v>
      </c>
      <c r="K43" s="10">
        <v>2033</v>
      </c>
      <c r="L43" s="10">
        <v>2034</v>
      </c>
      <c r="M43" s="9" t="s">
        <v>63</v>
      </c>
      <c r="N43" s="9" t="s">
        <v>64</v>
      </c>
    </row>
    <row r="44" spans="2:14" x14ac:dyDescent="0.2">
      <c r="B44" s="43" t="str">
        <f>"Undiscounted Impacts ("&amp;PriceYear&amp;" price year)"</f>
        <v>Undiscounted Impacts (2023 price year)</v>
      </c>
      <c r="C44" s="11" cm="1">
        <f t="array" ref="C44:L44">_xlfn.ANCHORARRAY(C37)-_xlfn.ANCHORARRAY(C30)</f>
        <v>0</v>
      </c>
      <c r="D44" s="11">
        <v>0</v>
      </c>
      <c r="E44" s="11">
        <v>0</v>
      </c>
      <c r="F44" s="11">
        <v>0</v>
      </c>
      <c r="G44" s="11">
        <v>0</v>
      </c>
      <c r="H44" s="11">
        <v>0</v>
      </c>
      <c r="I44" s="11">
        <v>0</v>
      </c>
      <c r="J44" s="11">
        <v>0</v>
      </c>
      <c r="K44" s="11">
        <v>0</v>
      </c>
      <c r="L44" s="11">
        <v>0</v>
      </c>
      <c r="M44" s="11">
        <f>SUM(_xlfn.ANCHORARRAY(C44))</f>
        <v>0</v>
      </c>
      <c r="N44" s="11" t="s">
        <v>65</v>
      </c>
    </row>
    <row r="45" spans="2:14" x14ac:dyDescent="0.2">
      <c r="B45" s="43" t="str">
        <f>"Discounted Impacts ("&amp;PriceYear&amp;" price year, 7% discount rate, "&amp;PVBaseYear&amp; " discount base year)"</f>
        <v>Discounted Impacts (2023 price year, 7% discount rate, 2025 discount base year)</v>
      </c>
      <c r="C45" s="11" cm="1">
        <f t="array" ref="C45:L45">_xlfn.ANCHORARRAY(C38)-_xlfn.ANCHORARRAY(C31)</f>
        <v>0</v>
      </c>
      <c r="D45" s="11">
        <v>0</v>
      </c>
      <c r="E45" s="11">
        <v>0</v>
      </c>
      <c r="F45" s="11">
        <v>0</v>
      </c>
      <c r="G45" s="11">
        <v>0</v>
      </c>
      <c r="H45" s="11">
        <v>0</v>
      </c>
      <c r="I45" s="11">
        <v>0</v>
      </c>
      <c r="J45" s="11">
        <v>0</v>
      </c>
      <c r="K45" s="11">
        <v>0</v>
      </c>
      <c r="L45" s="11">
        <v>0</v>
      </c>
      <c r="M45" s="11">
        <f>SUM(_xlfn.ANCHORARRAY(C45))</f>
        <v>0</v>
      </c>
      <c r="N45" s="11">
        <f>M45*AF_7_10</f>
        <v>0</v>
      </c>
    </row>
    <row r="46" spans="2:14" x14ac:dyDescent="0.2">
      <c r="B46" s="43" t="s">
        <v>66</v>
      </c>
      <c r="C46" s="11" cm="1">
        <f t="array" ref="C46:L46">_xlfn.ANCHORARRAY(C39)-_xlfn.ANCHORARRAY(C32)</f>
        <v>0</v>
      </c>
      <c r="D46" s="11">
        <v>0</v>
      </c>
      <c r="E46" s="11">
        <v>0</v>
      </c>
      <c r="F46" s="11">
        <v>0</v>
      </c>
      <c r="G46" s="11">
        <v>0</v>
      </c>
      <c r="H46" s="11">
        <v>0</v>
      </c>
      <c r="I46" s="11">
        <v>0</v>
      </c>
      <c r="J46" s="11">
        <v>0</v>
      </c>
      <c r="K46" s="11">
        <v>0</v>
      </c>
      <c r="L46" s="11">
        <v>0</v>
      </c>
      <c r="M46" s="11">
        <f>SUM(_xlfn.ANCHORARRAY(C46))</f>
        <v>0</v>
      </c>
      <c r="N46" s="11" t="s">
        <v>65</v>
      </c>
    </row>
    <row r="47" spans="2:14" x14ac:dyDescent="0.2">
      <c r="B47" s="43" t="s">
        <v>67</v>
      </c>
      <c r="C47" s="11" cm="1">
        <f t="array" ref="C47:L47">_xlfn.ANCHORARRAY(C40)-_xlfn.ANCHORARRAY(C33)</f>
        <v>0</v>
      </c>
      <c r="D47" s="11">
        <v>0</v>
      </c>
      <c r="E47" s="11">
        <v>0</v>
      </c>
      <c r="F47" s="11">
        <v>0</v>
      </c>
      <c r="G47" s="11">
        <v>0</v>
      </c>
      <c r="H47" s="11">
        <v>0</v>
      </c>
      <c r="I47" s="11">
        <v>0</v>
      </c>
      <c r="J47" s="11">
        <v>0</v>
      </c>
      <c r="K47" s="11">
        <v>0</v>
      </c>
      <c r="L47" s="11">
        <v>0</v>
      </c>
      <c r="M47" s="11">
        <f>SUM(_xlfn.ANCHORARRAY(C47))</f>
        <v>0</v>
      </c>
      <c r="N47" s="11">
        <f>M47*AF_7_10</f>
        <v>0</v>
      </c>
    </row>
  </sheetData>
  <conditionalFormatting sqref="B21">
    <cfRule type="notContainsBlanks" dxfId="60"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2:D35"/>
  <sheetViews>
    <sheetView showGridLines="0" zoomScaleNormal="100" workbookViewId="0">
      <selection activeCell="B20" sqref="B20"/>
    </sheetView>
  </sheetViews>
  <sheetFormatPr defaultColWidth="9.140625" defaultRowHeight="12" x14ac:dyDescent="0.25"/>
  <cols>
    <col min="1" max="1" width="4" style="154" customWidth="1"/>
    <col min="2" max="2" width="51.42578125" style="155" customWidth="1"/>
    <col min="3" max="3" width="53" style="154" customWidth="1"/>
    <col min="4" max="4" width="39.140625" style="154" customWidth="1"/>
    <col min="5" max="6" width="19.42578125" style="154" customWidth="1"/>
    <col min="7" max="7" width="15.28515625" style="154" customWidth="1"/>
    <col min="8" max="14" width="19.42578125" style="154" customWidth="1"/>
    <col min="15" max="16384" width="9.140625" style="154"/>
  </cols>
  <sheetData>
    <row r="2" spans="2:4" ht="15.75" x14ac:dyDescent="0.25">
      <c r="B2" s="206" t="s">
        <v>70</v>
      </c>
    </row>
    <row r="3" spans="2:4" ht="12.75" x14ac:dyDescent="0.25">
      <c r="B3" s="205"/>
      <c r="C3" s="158"/>
      <c r="D3" s="158"/>
    </row>
    <row r="4" spans="2:4" ht="12.75" x14ac:dyDescent="0.25">
      <c r="B4" s="205"/>
      <c r="C4" s="158"/>
      <c r="D4" s="158"/>
    </row>
    <row r="5" spans="2:4" ht="12.75" x14ac:dyDescent="0.25">
      <c r="B5" s="207" t="s">
        <v>312</v>
      </c>
      <c r="C5" s="162" t="s">
        <v>132</v>
      </c>
      <c r="D5" s="242" t="s">
        <v>316</v>
      </c>
    </row>
    <row r="6" spans="2:4" ht="25.5" x14ac:dyDescent="0.25">
      <c r="B6" s="192" t="s">
        <v>71</v>
      </c>
      <c r="C6" s="167">
        <f>SUM(tbl_Stakeholders[Small Business Count])</f>
        <v>0</v>
      </c>
      <c r="D6" s="266" t="s">
        <v>313</v>
      </c>
    </row>
    <row r="7" spans="2:4" ht="12.75" x14ac:dyDescent="0.25">
      <c r="B7" s="192" t="s">
        <v>49</v>
      </c>
      <c r="C7" s="167" t="str">
        <f>Time&amp;" ("&amp;YearOfRegistration&amp;" to "&amp;YearOfRegistration+Time-1&amp;")"</f>
        <v>10 (2025 to 2034)</v>
      </c>
      <c r="D7" s="267"/>
    </row>
    <row r="8" spans="2:4" ht="12.75" x14ac:dyDescent="0.25">
      <c r="B8" s="192" t="s">
        <v>50</v>
      </c>
      <c r="C8" s="167">
        <f>PriceYear</f>
        <v>2023</v>
      </c>
      <c r="D8" s="267"/>
    </row>
    <row r="9" spans="2:4" ht="12.75" x14ac:dyDescent="0.25">
      <c r="B9" s="192" t="s">
        <v>51</v>
      </c>
      <c r="C9" s="167" t="str">
        <f>TEXT(Discount, "0%")</f>
        <v>7%</v>
      </c>
      <c r="D9" s="267"/>
    </row>
    <row r="10" spans="2:4" ht="12.75" x14ac:dyDescent="0.25">
      <c r="B10" s="192" t="s">
        <v>52</v>
      </c>
      <c r="C10" s="167">
        <f>PVBaseYear</f>
        <v>2025</v>
      </c>
      <c r="D10" s="267"/>
    </row>
    <row r="11" spans="2:4" ht="14.45" customHeight="1" x14ac:dyDescent="0.25">
      <c r="B11" s="168" t="s">
        <v>325</v>
      </c>
      <c r="C11" s="169" t="s">
        <v>324</v>
      </c>
      <c r="D11" s="268" t="s">
        <v>323</v>
      </c>
    </row>
    <row r="12" spans="2:4" ht="12.75" x14ac:dyDescent="0.25">
      <c r="B12" s="196" t="s">
        <v>326</v>
      </c>
      <c r="C12" s="171">
        <v>0</v>
      </c>
      <c r="D12" s="269"/>
    </row>
    <row r="13" spans="2:4" ht="12.75" x14ac:dyDescent="0.25">
      <c r="B13" s="196" t="s">
        <v>72</v>
      </c>
      <c r="C13" s="171" t="s">
        <v>73</v>
      </c>
      <c r="D13" s="269"/>
    </row>
    <row r="14" spans="2:4" ht="12.75" x14ac:dyDescent="0.25">
      <c r="B14" s="208" t="s">
        <v>304</v>
      </c>
      <c r="C14" s="174" t="s">
        <v>308</v>
      </c>
      <c r="D14" s="270"/>
    </row>
    <row r="15" spans="2:4" ht="12.75" x14ac:dyDescent="0.25">
      <c r="B15" s="205"/>
      <c r="C15" s="205"/>
      <c r="D15" s="158"/>
    </row>
    <row r="16" spans="2:4" ht="12.75" x14ac:dyDescent="0.25">
      <c r="B16" s="205"/>
      <c r="C16" s="205"/>
      <c r="D16" s="158"/>
    </row>
    <row r="17" spans="2:4" ht="12.75" x14ac:dyDescent="0.2">
      <c r="B17" s="240" t="s">
        <v>351</v>
      </c>
      <c r="C17" s="241"/>
      <c r="D17" s="158"/>
    </row>
    <row r="18" spans="2:4" ht="12.75" x14ac:dyDescent="0.25">
      <c r="B18" s="205" t="str" cm="1">
        <f t="array" ref="B18">IF(NoErrors, "", "There are unresolved errors on the Activities sheet.")</f>
        <v>There are unresolved errors on the Activities sheet.</v>
      </c>
      <c r="C18" s="158"/>
      <c r="D18" s="158"/>
    </row>
    <row r="20" spans="2:4" x14ac:dyDescent="0.25">
      <c r="B20" s="155" t="str" cm="1">
        <f t="array" ref="B20">_xlfn.LET(
_xlpm.Magnitude, 1/10^IF($C$13="Millions",6,IF($C$13="Billions",9)),
_xlpm.Magnitude_text, IF($C$13="Millions", " ($ millions)", IF($C$13="Billions", " ($ billions)", "")),
_xlpm.FO_ActivityAdminCompliance,_xlfn.ANCHORARRAY( 'Full Output'!$B$2):_xlfn.ANCHORARRAY('Full Output'!$C$2),
_xlpm.FO_SBImpactD,_xlfn.ANCHORARRAY( 'Full Output'!$T$2),
_xlpm.FO_SBImpactU,_xlfn.ANCHORARRAY( 'Full Output'!$O$2),
_xlpm.Yr_hdrD, _xlfn.HSTACK(_xlfn.SEQUENCE(, Time, YearOfRegistration), "Total", "Annualized"),
_xlpm.FO_IO,_xlfn.ANCHORARRAY( 'Full Output'!$D$2),
_xlpm.FO_Year,_xlfn.ANCHORARRAY( 'Full Output'!$E$2),
_xlpm.In_AnnualDiscounted, SUMIFS(_xlpm.FO_SBImpactD, _xlpm.FO_IO, "In", _xlpm.FO_Year, _xlpm.Yr_hdrD)*_xlpm.Magnitude,
_xlpm.In_AnnualUndiscounted, SUMIFS(_xlpm.FO_SBImpactU, _xlpm.FO_IO, "In", _xlpm.FO_Year, _xlpm.Yr_hdrD)*_xlpm.Magnitude,
_xlpm.Out_AnnualDiscounted, -SUMIFS(_xlpm.FO_SBImpactD, _xlpm.FO_IO, "Out", _xlpm.FO_Year, _xlpm.Yr_hdrD)*_xlpm.Magnitude,
_xlpm.Out_AnnualUndiscounted, -SUMIFS(_xlpm.FO_SBImpactU, _xlpm.FO_IO, "Out",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(FO_InOut="Out")*(_xlpm.FO_SBImpactD&lt;&gt;0))),
_xlpm.w, _xlfn.UNIQUE(_xlfn._xlws.FILTER(_xlpm.FO_ActivityAdminCompliance, (FO_InOut="In")*(_xlpm.FO_SBImpactD&lt;&gt;0))),
_xlpm.s, IF($C$14="Default", 1, IF($C$14="Total Impact (↑)", 2, IF($C$14="Total Impact (↓)", 3, IF($C$14="Administrative then Compliance", 4, IF($C$14="Compliance then Administrative", 5, IF($C$14="Activity (↑az)", 6, IF($C$14="Activity (↓za)", 7))))))),
_xlpm.NUMTXT, _xlfn.LAMBDA(_xlpm.Value,_xlpm.Decimals,_xlpm.Text, IF(_xlpm.Text=1, DOLLAR(_xlpm.Value, _xlpm.Decimals), _xlpm.Value)),
_xlpm.d, --($C$11="Text"),
_xlpm.a, IFERROR(INDEX(_xlpm.k, , 2),""),
_xlpm.b, IFERROR(INDEX(_xlpm.k, , 1),""),
_xlpm.c, -_xlfn.LET(_xlpm.x, SUMIFS(_xlpm.FO_SBImpactD, FO_InOut, "Out", FO_Act, _xlpm.b, INDEX(_xlpm.FO_ActivityAdminCompliance,,2), _xlpm.a), _xlpm.x),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_xlfn.HSTACK(_xlfn.TAKE(_xlpm.e,,2), _xlpm.NUMTXT(_xlfn.TAKE(_xlpm.e,,-2), $C$12, _xlpm.d)), _xlfn.HSTACK("Total", "Total costs", _xlpm.NUMTXT(_xlpm.TBAB, $C$12, _xlpm.d))),
_xlpm.f, IFERROR(INDEX(_xlpm.w, , 2),""),
_xlpm.g, IFERROR(INDEX(_xlpm.w, , 1),""),
_xlpm.h, _xlfn.LET(_xlpm.y, SUMIFS(_xlpm.FO_SBImpactD, FO_InOut, "In", FO_Act, _xlpm.g, INDEX(_xlpm.FO_ActivityAdminCompliance,,2), _xlpm.f), _xlpm.y),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_xlfn.HSTACK(_xlfn.TAKE(_xlpm.j,,2), _xlpm.NUMTXT(_xlfn.TAKE(_xlpm.j,,-2), $C$12, _xlpm.d)), _xlfn.HSTACK("Total", "Total costs", _xlpm.NUMTXT(_xlpm.TCAC, $C$12, _xlpm.d))),
_xlpm.net_11, "Net impact on all impacted small businesses "&amp;CHAR(10)&amp;"[Total benefits minus total costs]",
_xlpm.net_12, -SUM(_xlpm.FO_SBImpactD),
_xlpm.net_13, _xlpm.net_12*AF,
_xlpm.net_21, "Average net impact on each impacted small business " &amp;CHAR(10)&amp;"[Net impact divided by number of impacted small businesses]",
_xlpm.net_22, _xlpm.net_12/$C$6,
_xlpm.net_23, _xlpm.net_13/$C$6,
_xlpm.tbl_SBLNet, _xlfn.VSTACK(_xlfn.HSTACK(_xlpm.net_11, _xlpm.NUMTXT(_xlpm.net_12, $C$12, _xlpm.d), _xlpm.NUMTXT(_xlpm.net_13, $C$12, _xlpm.d)), _xlfn.HSTACK(_xlpm.net_21, _xlpm.NUMTXT(_xlpm.net_22, $C$12, _xlpm.d), _xlpm.NUMTXT(_xlpm.net_23, $C$12, _xlpm.d))),
_xlpm.NetHeader, _xlfn.HSTACK("Amount", "Present value", "Annualized value"),
_xlpm.SBLYearHeader, _xlfn.HSTACK("Impact", YrsHdr_D),
_xlpm.IN_Undiscounted,
     _xlfn.HSTACK("Undiscounted",
     IFERROR(_xlpm.NUMTXT(IF(_xlpm.Yr_hdrD="Total", SUM(_xlpm.In_AnnualUndiscounted), IF(_xlpm.Yr_hdrD="Annualized", "N/A", _xlpm.In_AnnualUndiscounted)), $C$12, _xlpm.d), "N/A")),
_xlpm.IN_Discounted,
     _xlfn.HSTACK("Discounted",
     _xlpm.NUMTXT(IF(_xlpm.Yr_hdrD="Total", SUM(_xlpm.In_AnnualDiscounted), IF(_xlpm.Yr_hdrD="Annualized", SUM(_xlpm.In_AnnualDiscounted)*AF, _xlpm.In_AnnualDiscounted)), $C$12, _xlpm.d)),
_xlpm.OUT_Undiscounted,
     _xlfn.HSTACK("Undiscounted",
     IFERROR(_xlpm.NUMTXT(IF(_xlpm.Yr_hdrD="Total", SUM(_xlpm.Out_AnnualUndiscounted), IF(_xlpm.Yr_hdrD="Annualized", "N/A", _xlpm.Out_AnnualUndiscounted)), $C$12, _xlpm.d), "N/A")),
_xlpm.OUT_Discounted,
     _xlfn.HSTACK("Discounted",
     _xlpm.NUMTXT(IF(_xlpm.Yr_hdrD="Total", SUM(_xlpm.Out_AnnualDiscounted), IF(_xlpm.Yr_hdrD="Annualized", SUM(_xlpm.Out_AnnualDiscounted)*AF, _xlpm.Out_AnnualDiscounted)), $C$12, _xlpm.d)),
_xlpm.NET_Undiscounted,
     _xlfn.HSTACK("Undiscounted",
     IFERROR(_xlpm.NUMTXT(IF(_xlpm.Yr_hdrD="Total", SUM(_xlpm.Net_AnnualUndiscounted), IF(_xlpm.Yr_hdrD="Annualized", "N/A", _xlpm.Net_AnnualUndiscounted)), $C$12, _xlpm.d), "N/A")),
_xlpm.NET_Discounted,
     _xlfn.HSTACK("Discounted",
     _xlpm.NUMTXT(IF(_xlpm.Yr_hdrD="Total", SUM(_xlpm.Net_AnnualDiscounted), IF(_xlpm.Yr_hdrD="Annualized", SUM(_xlpm.Net_AnnualDiscounted)*AF, _xlpm.Net_AnnualDiscounted)), $C$12, _xlpm.d)),
_xlpm.IN, _xlfn.VSTACK("IN"&amp;_xlpm.Magnitude_text, _xlpm.SBLYearHeader, _xlpm.IN_Discounted, _xlpm.IN_Undiscounted),
_xlpm.OUT, _xlfn.VSTACK("OUT"&amp;_xlpm.Magnitude_text,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row r="34" ht="24" x14ac:dyDescent="0.25"/>
    <row r="35" ht="24" x14ac:dyDescent="0.25"/>
  </sheetData>
  <mergeCells count="2">
    <mergeCell ref="D6:D10"/>
    <mergeCell ref="D11:D14"/>
  </mergeCells>
  <conditionalFormatting sqref="B19:E405">
    <cfRule type="expression" dxfId="59" priority="2">
      <formula>$B18="Administrative or Compliance"</formula>
    </cfRule>
    <cfRule type="expression" dxfId="58" priority="4">
      <formula>$B19="Total"</formula>
    </cfRule>
    <cfRule type="expression" dxfId="57" priority="5">
      <formula>$B19="Amount"</formula>
    </cfRule>
    <cfRule type="expression" dxfId="56" priority="6">
      <formula>$B19="Administrative or Compliance"</formula>
    </cfRule>
    <cfRule type="expression" dxfId="55" priority="11">
      <formula>OR($B19="Net Impacts", $B19="Net Impacts ($ millions)", $B19="Net Impacts ($ billions)")</formula>
    </cfRule>
    <cfRule type="expression" dxfId="54" priority="12">
      <formula>OR($B19="Costs", $B19="Costs ($ millions)", $B19="Costs ($ billions)")</formula>
    </cfRule>
    <cfRule type="expression" dxfId="53" priority="13">
      <formula>OR($B19="Benefits", $B19="Benefits ($ millions)", $B19="Benefits ($ billions)")</formula>
    </cfRule>
  </conditionalFormatting>
  <conditionalFormatting sqref="B19:CY405">
    <cfRule type="expression" dxfId="52" priority="3">
      <formula>$B19="Impact"</formula>
    </cfRule>
    <cfRule type="expression" dxfId="51" priority="8">
      <formula>OR($B19="NET", $B19="Net ($ millions)", $B19="Net ($ billions)")</formula>
    </cfRule>
    <cfRule type="expression" dxfId="50" priority="9">
      <formula>OR($B19="OUT", $B19="OUT ($ millions)", $B19="OUT ($ billions)")</formula>
    </cfRule>
    <cfRule type="expression" dxfId="49" priority="10">
      <formula>OR($B19="IN", $B19="IN ($ millions)", $B19= "IN ($ billions)")</formula>
    </cfRule>
    <cfRule type="notContainsBlanks" dxfId="48" priority="14">
      <formula>LEN(TRIM(B19))&gt;0</formula>
    </cfRule>
  </conditionalFormatting>
  <conditionalFormatting sqref="B18">
    <cfRule type="notContainsBlanks" dxfId="47" priority="1">
      <formula>LEN(TRIM(B18))&gt;0</formula>
    </cfRule>
  </conditionalFormatting>
  <dataValidations xWindow="428" yWindow="373" count="4">
    <dataValidation type="list" allowBlank="1" showInputMessage="1" showErrorMessage="1" sqref="C12" xr:uid="{7A352B02-3BA5-4417-BCBC-67712185EC09}">
      <formula1>"0, 1, 2, 3, 4"</formula1>
    </dataValidation>
    <dataValidation type="list" allowBlank="1" showInputMessage="1" showErrorMessage="1" sqref="C13" xr:uid="{55570B72-1F02-48A0-9DA8-9AC9DA757705}">
      <formula1>"Single, Millions, Billions"</formula1>
    </dataValidation>
    <dataValidation type="list" allowBlank="1" showInputMessage="1" showErrorMessage="1" prompt="Default lists activities by the way in which they appear on the Activities sheet." sqref="C14" xr:uid="{BF41C7AB-EE6D-45D8-9E6E-C7B40007AA9B}">
      <formula1>"Default, Total Impact (↑), Total Impact (↓), Administrative then Compliance, Compliance then Administrative, Activity (↑az), Activity (↓za)"</formula1>
    </dataValidation>
    <dataValidation type="list" allowBlank="1" showInputMessage="1" showErrorMessage="1" prompt="Text: for copy-pasting into Word. _x000a__x000a_Numbers: for additional manipulations in Excel." sqref="C11:C12" xr:uid="{0406538D-C029-415C-B7F4-DBECF24D7981}">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0609-E1AB-41FA-872C-0054B4C65085}">
  <sheetPr codeName="Sheet8">
    <tabColor rgb="FFF4EE00"/>
  </sheetPr>
  <dimension ref="B2:N11"/>
  <sheetViews>
    <sheetView showGridLines="0" zoomScaleNormal="100" workbookViewId="0">
      <selection activeCell="B2" sqref="B2"/>
    </sheetView>
  </sheetViews>
  <sheetFormatPr defaultColWidth="9.140625" defaultRowHeight="12.75" x14ac:dyDescent="0.2"/>
  <cols>
    <col min="1" max="1" width="9.140625" style="82"/>
    <col min="2" max="2" width="25" style="82" customWidth="1"/>
    <col min="3" max="3" width="26.85546875" style="82" customWidth="1"/>
    <col min="4" max="14" width="11.42578125" style="82" customWidth="1"/>
    <col min="15" max="16384" width="9.140625" style="82"/>
  </cols>
  <sheetData>
    <row r="2" spans="2:14" ht="15.75" x14ac:dyDescent="0.2">
      <c r="B2" s="81" t="s">
        <v>74</v>
      </c>
    </row>
    <row r="3" spans="2:14" ht="15.75" x14ac:dyDescent="0.2">
      <c r="B3" s="81"/>
    </row>
    <row r="6" spans="2:14" s="85" customFormat="1" x14ac:dyDescent="0.2"/>
    <row r="7" spans="2:14" s="85" customFormat="1" x14ac:dyDescent="0.2">
      <c r="D7" s="85">
        <v>0</v>
      </c>
      <c r="E7" s="85" cm="1">
        <f t="array" ref="E7:N7">_xlfn.SEQUENCE(,Time)</f>
        <v>1</v>
      </c>
      <c r="F7" s="85">
        <v>2</v>
      </c>
      <c r="G7" s="85">
        <v>3</v>
      </c>
      <c r="H7" s="85">
        <v>4</v>
      </c>
      <c r="I7" s="85">
        <v>5</v>
      </c>
      <c r="J7" s="85">
        <v>6</v>
      </c>
      <c r="K7" s="85">
        <v>7</v>
      </c>
      <c r="L7" s="85">
        <v>8</v>
      </c>
      <c r="M7" s="85">
        <v>9</v>
      </c>
      <c r="N7" s="85">
        <v>10</v>
      </c>
    </row>
    <row r="8" spans="2:14" s="84" customFormat="1" x14ac:dyDescent="0.2">
      <c r="B8" s="83" t="s">
        <v>75</v>
      </c>
      <c r="C8" s="83" t="s">
        <v>76</v>
      </c>
      <c r="D8" s="83" cm="1">
        <f t="array" ref="D8:N8">_xlfn.HSTACK(YearOfRegistration, _xlfn.SEQUENCE(, Time, YearOfRegistration))</f>
        <v>2025</v>
      </c>
      <c r="E8" s="83">
        <v>2025</v>
      </c>
      <c r="F8" s="83">
        <v>2026</v>
      </c>
      <c r="G8" s="83">
        <v>2027</v>
      </c>
      <c r="H8" s="83">
        <v>2028</v>
      </c>
      <c r="I8" s="83">
        <v>2029</v>
      </c>
      <c r="J8" s="83">
        <v>2030</v>
      </c>
      <c r="K8" s="83">
        <v>2031</v>
      </c>
      <c r="L8" s="83">
        <v>2032</v>
      </c>
      <c r="M8" s="83">
        <v>2033</v>
      </c>
      <c r="N8" s="83">
        <v>2034</v>
      </c>
    </row>
    <row r="9" spans="2:14" x14ac:dyDescent="0.2">
      <c r="B9" s="82" t="str" cm="1">
        <f t="array" ref="B9:B11">IFERROR(_xlfn._xlws.SORT(_xlfn.TOCOL(IF(_xlfn.SEQUENCE(1, IF(SUM(tbl_Stakeholders[Non-business Count])=0, 3, 5)), _xlfn._xlws.FILTER(tbl_Stakeholders[Stakeholder Group], ISBLANK(tbl_Stakeholders[Stakeholder Group])=FALSE)),,1)), "")</f>
        <v/>
      </c>
      <c r="C9" s="82" t="str" cm="1">
        <f t="array" ref="C9">IFERROR(_xlfn.TOCOL( IF(_xlfn.SEQUENCE(COUNTA(tbl_Stakeholders[Stakeholder Group]), 1), IF(SUM(tbl_Stakeholders[Non-business Count])&gt;0, tbl_Stakeholders[[#Headers],[Non-business Count]:[Total Stakeholder Count]], tbl_Stakeholders[[#Headers],[Small Business Count]:[Total Business Count]])), ,FALSE ), "")</f>
        <v/>
      </c>
      <c r="D9" s="82" t="str" cm="1">
        <f t="array" ref="D9:D11">IFERROR(INDEX(tbl_Stakeholders[[Non-business Count]:[Total Stakeholder Count]], MATCH(_xlfn.ANCHORARRAY(B9), tbl_Stakeholders[Stakeholder Group], 0), MATCH(_xlfn.ANCHORARRAY(C9), tbl_Stakeholders[[#Headers],[Non-business Count]:[Total Stakeholder Count]], 0)), "")</f>
        <v/>
      </c>
      <c r="E9" s="82" t="str" cm="1">
        <f t="array" ref="E9">IF(COUNTA(tbl_Stakeholders[Stakeholder Group])=0, "", _xlfn.MAKEARRAY(ROWS(_xlfn._xlws.FILTER(tbl_Stakeholders[], tbl_Stakeholders[Stakeholder Group]&lt;&gt;""))*IF(SUM(tbl_Stakeholders[Non-business Count])&gt;0, 5, 3), Time, _xlfn.LAMBDA(_xlpm.r,_xlpm.c,
IFERROR(_xlfn.LET(
_xlpm.ThisGroup, MATCH(INDEX(_xlfn.ANCHORARRAY($B$9), _xlpm.r), tbl_Stakeholders[Stakeholder Group], 0),
_xlpm.x, INDEX(tbl_Stakeholders[Non-business Count], _xlpm.ThisGroup)*(1+INDEX(tbl_Stakeholders[Non-business Growth Rate], _xlpm.ThisGroup))^INDEX(_xlfn.ANCHORARRAY($E$7),, _xlpm.c),
_xlpm.y, INDEX(tbl_Stakeholders[Small Business Count], _xlpm.ThisGroup)*(1+INDEX(tbl_Stakeholders[Small Business Growth Rate], _xlpm.ThisGroup))^INDEX(_xlfn.ANCHORARRAY($E$7),,_xlpm.c),
_xlpm.z, INDEX(tbl_Stakeholders[Med/Large Business Count], _xlpm.ThisGroup)*(1+INDEX(tbl_Stakeholders[Med/Large Business Growth Rate], _xlpm.ThisGroup))^INDEX(_xlfn.ANCHORARRAY($E$7),,_xlpm.c),
IF(INDEX(_xlfn.ANCHORARRAY($C$9), _xlpm.r)="Non-business Count", _xlpm.x,
IF(INDEX(_xlfn.ANCHORARRAY($C$9), _xlpm.r)="Small Business Count", _xlpm.y,
IF(INDEX(_xlfn.ANCHORARRAY($C$9), _xlpm.r)="Med/Large Business Count", _xlpm.z,
IF(INDEX(_xlfn.ANCHORARRAY($C$9), _xlpm.r)="Total Business Count", _xlpm.y+_xlpm.z,
IF(INDEX(_xlfn.ANCHORARRAY($C$9), _xlpm.r)="Total Stakeholder Count", _xlpm.x+_xlpm.y+_xlpm.z)))))), ""))))</f>
        <v/>
      </c>
    </row>
    <row r="10" spans="2:14" x14ac:dyDescent="0.2">
      <c r="B10" s="82" t="str">
        <v/>
      </c>
      <c r="D10" s="82" t="str">
        <v/>
      </c>
    </row>
    <row r="11" spans="2:14" x14ac:dyDescent="0.2">
      <c r="B11" s="82" t="str">
        <v/>
      </c>
      <c r="D11" s="82" t="str">
        <v/>
      </c>
    </row>
  </sheetData>
  <phoneticPr fontId="3" type="noConversion"/>
  <conditionalFormatting sqref="B9:O9 Q9:CY9 B10:CY398">
    <cfRule type="notContainsBlanks" dxfId="46" priority="9">
      <formula>LEN(TRIM(B9))&gt;0</formula>
    </cfRule>
  </conditionalFormatting>
  <conditionalFormatting sqref="B8:CY8">
    <cfRule type="notContainsBlanks" dxfId="45" priority="8">
      <formula>LEN(TRIM(B8))&gt;0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B8095-A86D-4ACA-BCC1-D22E367104B0}">
  <sheetPr codeName="Sheet12">
    <tabColor rgb="FFF4EE00"/>
    <pageSetUpPr autoPageBreaks="0"/>
  </sheetPr>
  <dimension ref="B2:H46"/>
  <sheetViews>
    <sheetView showGridLines="0" zoomScaleNormal="100" workbookViewId="0">
      <selection activeCell="B18" sqref="B18"/>
    </sheetView>
  </sheetViews>
  <sheetFormatPr defaultColWidth="14" defaultRowHeight="12" x14ac:dyDescent="0.25"/>
  <cols>
    <col min="1" max="1" width="5.140625" style="154" customWidth="1"/>
    <col min="2" max="2" width="43.5703125" style="155" customWidth="1"/>
    <col min="3" max="3" width="20.85546875" style="154" customWidth="1"/>
    <col min="4" max="8" width="14" style="154"/>
    <col min="9" max="9" width="14" style="154" customWidth="1"/>
    <col min="10" max="16384" width="14" style="154"/>
  </cols>
  <sheetData>
    <row r="2" spans="2:5" ht="15.75" x14ac:dyDescent="0.25">
      <c r="B2" s="157" t="s">
        <v>307</v>
      </c>
      <c r="C2" s="158"/>
      <c r="D2" s="158"/>
      <c r="E2" s="158"/>
    </row>
    <row r="3" spans="2:5" ht="12.75" x14ac:dyDescent="0.2">
      <c r="B3" s="159"/>
      <c r="C3" s="158"/>
      <c r="D3" s="158"/>
      <c r="E3" s="158"/>
    </row>
    <row r="4" spans="2:5" ht="12.75" x14ac:dyDescent="0.2">
      <c r="B4" s="159"/>
      <c r="C4" s="158"/>
      <c r="D4" s="158"/>
      <c r="E4" s="158"/>
    </row>
    <row r="5" spans="2:5" ht="12.75" x14ac:dyDescent="0.2">
      <c r="B5" s="160" t="s">
        <v>312</v>
      </c>
      <c r="C5" s="161" t="s">
        <v>132</v>
      </c>
      <c r="D5" s="242" t="s">
        <v>316</v>
      </c>
      <c r="E5" s="158"/>
    </row>
    <row r="6" spans="2:5" ht="12.75" x14ac:dyDescent="0.25">
      <c r="B6" s="163" t="s">
        <v>50</v>
      </c>
      <c r="C6" s="164">
        <f>PriceYear</f>
        <v>2023</v>
      </c>
      <c r="D6" s="267" t="s">
        <v>313</v>
      </c>
      <c r="E6" s="158"/>
    </row>
    <row r="7" spans="2:5" ht="12.75" x14ac:dyDescent="0.25">
      <c r="B7" s="165" t="s">
        <v>51</v>
      </c>
      <c r="C7" s="166">
        <f>Discount</f>
        <v>7.0000000000000007E-2</v>
      </c>
      <c r="D7" s="267"/>
      <c r="E7" s="158"/>
    </row>
    <row r="8" spans="2:5" ht="12.75" x14ac:dyDescent="0.25">
      <c r="B8" s="165" t="s">
        <v>77</v>
      </c>
      <c r="C8" s="167">
        <f>PVBaseYear</f>
        <v>2025</v>
      </c>
      <c r="D8" s="267"/>
      <c r="E8" s="158"/>
    </row>
    <row r="9" spans="2:5" ht="15" customHeight="1" x14ac:dyDescent="0.25">
      <c r="B9" s="168" t="s">
        <v>325</v>
      </c>
      <c r="C9" s="169" t="s">
        <v>324</v>
      </c>
      <c r="D9" s="268" t="s">
        <v>314</v>
      </c>
      <c r="E9" s="158"/>
    </row>
    <row r="10" spans="2:5" ht="12.75" x14ac:dyDescent="0.25">
      <c r="B10" s="170" t="s">
        <v>326</v>
      </c>
      <c r="C10" s="171">
        <v>0</v>
      </c>
      <c r="D10" s="269"/>
      <c r="E10" s="172"/>
    </row>
    <row r="11" spans="2:5" ht="12.75" x14ac:dyDescent="0.25">
      <c r="B11" s="170" t="s">
        <v>72</v>
      </c>
      <c r="C11" s="171" t="s">
        <v>73</v>
      </c>
      <c r="D11" s="269"/>
      <c r="E11" s="158"/>
    </row>
    <row r="12" spans="2:5" ht="12.75" x14ac:dyDescent="0.25">
      <c r="B12" s="170" t="s">
        <v>247</v>
      </c>
      <c r="C12" s="171" t="s">
        <v>301</v>
      </c>
      <c r="D12" s="269"/>
      <c r="E12" s="158"/>
    </row>
    <row r="13" spans="2:5" ht="12.75" x14ac:dyDescent="0.25">
      <c r="B13" s="173" t="s">
        <v>302</v>
      </c>
      <c r="C13" s="174" t="s">
        <v>350</v>
      </c>
      <c r="D13" s="270"/>
      <c r="E13" s="158"/>
    </row>
    <row r="14" spans="2:5" ht="12.75" x14ac:dyDescent="0.25">
      <c r="B14" s="172"/>
      <c r="C14" s="158"/>
      <c r="D14" s="158"/>
      <c r="E14" s="158"/>
    </row>
    <row r="15" spans="2:5" ht="12.75" x14ac:dyDescent="0.25">
      <c r="B15" s="175" t="s">
        <v>246</v>
      </c>
      <c r="C15" s="158"/>
      <c r="D15" s="158"/>
      <c r="E15" s="158"/>
    </row>
    <row r="16" spans="2:5" ht="12.75" x14ac:dyDescent="0.25">
      <c r="B16" s="172" t="str" cm="1">
        <f t="array" ref="B16">IF(NoErrors, "", "There are unresolved errors on the Activities sheet.")</f>
        <v>There are unresolved errors on the Activities sheet.</v>
      </c>
      <c r="C16" s="158"/>
      <c r="D16" s="158"/>
      <c r="E16" s="158"/>
    </row>
    <row r="18" spans="2:8" x14ac:dyDescent="0.25">
      <c r="B18" s="155" t="str" cm="1">
        <f t="array" ref="B18:E46">_xlfn.LET(
_xlpm.Mag, 1/10^IF($C$11="Millions", 6, IF($C$11="Billions",9)),
_xlpm.Mag_txt, IF($C$11="Millions", "($ millions)", IF($C$11="Billions", "($ billions)", "")),
_xlpm.L, $C$13="Columns",
_xlpm.Yr_hdrD, _xlfn.HSTACK(_xlfn.SEQUENCE(, Time, YearOfRegistration), "Total", "Annualized"),
_xlpm.Header_D, _xlfn.HSTACK(IF(_xlpm.L, "Impact", "Year"), _xlpm.Yr_hdrD),
_xlpm.FO_DiscountedImpacts,_xlfn.ANCHORARRAY( 'Full Output'!$W$2),
_xlpm.FO_UndiscountedImpacts,_xlfn.ANCHORARRAY( 'Full Output'!$R$2),
_xlpm.FO_IO,_xlfn.ANCHORARRAY( 'Full Output'!$D$2),
_xlpm.FO_Year,_xlfn.ANCHORARRAY( 'Full Output'!$E$2),
_xlpm.In_AnnualDiscounted, SUMIFS(_xlpm.FO_DiscountedImpacts, _xlpm.FO_IO, "In", _xlpm.FO_Year, _xlpm.Yr_hdrD)*_xlpm.Mag,
_xlpm.In_AnnualUndiscounted, SUMIFS(_xlpm.FO_UndiscountedImpacts, _xlpm.FO_IO, "In", _xlpm.FO_Year, _xlpm.Yr_hdrD)*_xlpm.Mag,
_xlpm.Out_AnnualDiscounted, -SUMIFS(_xlpm.FO_DiscountedImpacts, _xlpm.FO_IO, "Out", _xlpm.FO_Year, _xlpm.Yr_hdrD)*_xlpm.Mag,
_xlpm.Out_AnnualUndiscounted, -SUMIFS(_xlpm.FO_UndiscountedImpacts, _xlpm.FO_IO, "Out", _xlpm.FO_Year, _xlpm.Yr_hdrD)*_xlpm.Mag,
_xlpm.Net_AnnualDiscounted, -SUMIFS(_xlpm.FO_DiscountedImpacts,_xlpm.FO_Year, _xlpm.Yr_hdrD)*_xlpm.Mag,
_xlpm.Net_AnnualUndiscounted, -SUMIFS(_xlpm.FO_UndiscountedImpacts, _xlpm.FO_Year, _xlpm.Yr_hdrD)*_xlpm.Mag,
_xlpm.NUMTXT, _xlfn.LAMBDA(_xlpm.Value,_xlpm.Decimals,_xlpm.Text, IF(_xlpm.Text=1, DOLLAR(_xlpm.Value, _xlpm.Decimals), _xlpm.Value)),
_xlpm.d, --($C$9="Text"),
_xlpm.IN_D,
     _xlfn.HSTACK(IF($C$12="Discounting", "IN", "Discounted"),
     _xlpm.NUMTXT(IF(_xlpm.Yr_hdrD="Total", SUM(_xlpm.In_AnnualDiscounted), IF(_xlpm.Yr_hdrD="Annualized", SUM(_xlpm.In_AnnualDiscounted)*AF, _xlpm.In_AnnualDiscounted)), $C$10, _xlpm.d)),
_xlpm.IN_U,
     _xlfn.HSTACK(IF($C$12="Discounting", "IN", "Undiscounted"),
     IFERROR(_xlpm.NUMTXT(IF(_xlpm.Yr_hdrD="Total", SUM(_xlpm.In_AnnualUndiscounted), IF(_xlpm.Yr_hdrD="Annualized", "N/A", _xlpm.In_AnnualUndiscounted)), $C$10, _xlpm.d), "N/A")),
_xlpm.OUT_D,
     _xlfn.HSTACK(IF($C$12="Discounting", "OUT", "Discounted"),
     _xlpm.NUMTXT(IF(_xlpm.Yr_hdrD="Total", SUM(_xlpm.Out_AnnualDiscounted), IF(_xlpm.Yr_hdrD="Annualized", SUM(_xlpm.Out_AnnualDiscounted)*AF, _xlpm.Out_AnnualDiscounted)), $C$10, _xlpm.d)),
_xlpm.OUT_U,
     _xlfn.HSTACK(IF($C$12="Discounting", "OUT", "Undiscounted"),
     IFERROR(_xlpm.NUMTXT(IF(_xlpm.Yr_hdrD="Total", SUM(_xlpm.Out_AnnualUndiscounted), IF(_xlpm.Yr_hdrD="Annualized", "N/A", _xlpm.Out_AnnualUndiscounted)), $C$10, _xlpm.d), "N/A")),
_xlpm.NET_D,
     _xlfn.HSTACK(IF($C$12="Discounting", "NET", "Discounted"),
     _xlpm.NUMTXT(IF(_xlpm.Yr_hdrD="Total", SUM(_xlpm.Net_AnnualDiscounted), IF(_xlpm.Yr_hdrD="Annualized", SUM(_xlpm.Net_AnnualDiscounted)*AF, _xlpm.Net_AnnualDiscounted)), $C$10, _xlpm.d)),
_xlpm.NET_U,
     _xlfn.HSTACK(IF($C$12="Discounting", "NET", "Undiscounted"),
     IFERROR(_xlpm.NUMTXT(IF(_xlpm.Yr_hdrD="Total", SUM(_xlpm.Net_AnnualUndiscounted), IF(_xlpm.Yr_hdrD="Annualized", "N/A", _xlpm.Net_AnnualUndiscounted)), $C$10, _xlpm.d), "N/A")),
_xlpm.IN, _xlfn.LET(_xlpm.t, _xlfn.VSTACK("IN "&amp;_xlpm.Mag_txt, _xlpm.Header_D, _xlpm.IN_D, _xlpm.IN_U), IF(_xlpm.L, _xlpm.t, _xlfn.VSTACK("IN "&amp;_xlpm.Mag_txt, TRANSPOSE(_xlfn.DROP(_xlpm.t, 1))))),
_xlpm.OUT, _xlfn.LET(_xlpm.t, _xlfn.VSTACK("OUT "&amp;_xlpm.Mag_txt, _xlpm.Header_D, _xlpm.OUT_D, _xlpm.OUT_U), IF(_xlpm.L, _xlpm.t, _xlfn.VSTACK("OUT "&amp;_xlpm.Mag_txt, TRANSPOSE(_xlfn.DROP(_xlpm.t, 1))))),
_xlpm.NET, _xlfn.LET(_xlpm.t, _xlfn.VSTACK("NET "&amp;_xlpm.Mag_txt, _xlpm.Header_D, _xlpm.NET_D, _xlpm.NET_U), IF(_xlpm.L, _xlpm.t, _xlfn.VSTACK("NET "&amp;_xlpm.Mag_txt, TRANSPOSE(_xlfn.DROP(_xlpm.t, 1))))),
_xlpm.Discounted, _xlfn.LET(_xlpm.t, _xlfn.VSTACK("Discounted "&amp;_xlpm.Mag_txt, _xlpm.Header_D, _xlpm.IN_D, _xlpm.OUT_D, _xlpm.NET_D), IF(_xlpm.L, _xlpm.t, _xlfn.VSTACK("Discounted "&amp;_xlpm.Mag_txt, TRANSPOSE(_xlfn.DROP(_xlpm.t, 1))))),
_xlpm.Undiscounted, _xlfn.LET(_xlpm.t, _xlfn.DROP(_xlfn.VSTACK("Undiscounted "&amp;_xlpm.Mag_txt, _xlpm.Header_D, _xlpm.IN_U, _xlpm.OUT_U, _xlpm.NET_U),, -1), IF(_xlpm.L, _xlpm.t, _xlfn.VSTACK("Undiscounted "&amp;_xlpm.Mag_txt, TRANSPOSE(_xlfn.DROP(_xlpm.t, 1))))),
_xlpm.x, IFERROR(IF($C$12="Discounting", _xlfn.VSTACK(_xlpm.Discounted, "", "", _xlpm.Undiscounted), _xlfn.VSTACK(_xlpm.IN, "", "", _xlpm.OUT, "", "", _xlpm.NET)), ""),
_xlpm.x)</f>
        <v xml:space="preserve">Discounted </v>
      </c>
      <c r="C18" s="154" t="str">
        <v/>
      </c>
      <c r="D18" s="154" t="str">
        <v/>
      </c>
      <c r="E18" s="154" t="str">
        <v/>
      </c>
      <c r="H18" s="156"/>
    </row>
    <row r="19" spans="2:8" x14ac:dyDescent="0.25">
      <c r="B19" s="155" t="str">
        <v>Year</v>
      </c>
      <c r="C19" s="154" t="str">
        <v>IN</v>
      </c>
      <c r="D19" s="154" t="str">
        <v>OUT</v>
      </c>
      <c r="E19" s="154" t="str">
        <v>NET</v>
      </c>
    </row>
    <row r="20" spans="2:8" x14ac:dyDescent="0.25">
      <c r="B20" s="155">
        <v>2025</v>
      </c>
      <c r="C20" s="154" t="str">
        <v>$0</v>
      </c>
      <c r="D20" s="154" t="str">
        <v>$0</v>
      </c>
      <c r="E20" s="154" t="str">
        <v>$0</v>
      </c>
    </row>
    <row r="21" spans="2:8" x14ac:dyDescent="0.25">
      <c r="B21" s="155">
        <v>2026</v>
      </c>
      <c r="C21" s="154" t="str">
        <v>$0</v>
      </c>
      <c r="D21" s="154" t="str">
        <v>$0</v>
      </c>
      <c r="E21" s="154" t="str">
        <v>$0</v>
      </c>
    </row>
    <row r="22" spans="2:8" x14ac:dyDescent="0.25">
      <c r="B22" s="155">
        <v>2027</v>
      </c>
      <c r="C22" s="154" t="str">
        <v>$0</v>
      </c>
      <c r="D22" s="154" t="str">
        <v>$0</v>
      </c>
      <c r="E22" s="154" t="str">
        <v>$0</v>
      </c>
    </row>
    <row r="23" spans="2:8" x14ac:dyDescent="0.25">
      <c r="B23" s="155">
        <v>2028</v>
      </c>
      <c r="C23" s="154" t="str">
        <v>$0</v>
      </c>
      <c r="D23" s="154" t="str">
        <v>$0</v>
      </c>
      <c r="E23" s="154" t="str">
        <v>$0</v>
      </c>
    </row>
    <row r="24" spans="2:8" x14ac:dyDescent="0.25">
      <c r="B24" s="155">
        <v>2029</v>
      </c>
      <c r="C24" s="154" t="str">
        <v>$0</v>
      </c>
      <c r="D24" s="154" t="str">
        <v>$0</v>
      </c>
      <c r="E24" s="154" t="str">
        <v>$0</v>
      </c>
    </row>
    <row r="25" spans="2:8" x14ac:dyDescent="0.25">
      <c r="B25" s="155">
        <v>2030</v>
      </c>
      <c r="C25" s="154" t="str">
        <v>$0</v>
      </c>
      <c r="D25" s="154" t="str">
        <v>$0</v>
      </c>
      <c r="E25" s="154" t="str">
        <v>$0</v>
      </c>
    </row>
    <row r="26" spans="2:8" x14ac:dyDescent="0.25">
      <c r="B26" s="155">
        <v>2031</v>
      </c>
      <c r="C26" s="154" t="str">
        <v>$0</v>
      </c>
      <c r="D26" s="154" t="str">
        <v>$0</v>
      </c>
      <c r="E26" s="154" t="str">
        <v>$0</v>
      </c>
    </row>
    <row r="27" spans="2:8" x14ac:dyDescent="0.25">
      <c r="B27" s="155">
        <v>2032</v>
      </c>
      <c r="C27" s="154" t="str">
        <v>$0</v>
      </c>
      <c r="D27" s="154" t="str">
        <v>$0</v>
      </c>
      <c r="E27" s="154" t="str">
        <v>$0</v>
      </c>
    </row>
    <row r="28" spans="2:8" x14ac:dyDescent="0.25">
      <c r="B28" s="155">
        <v>2033</v>
      </c>
      <c r="C28" s="154" t="str">
        <v>$0</v>
      </c>
      <c r="D28" s="154" t="str">
        <v>$0</v>
      </c>
      <c r="E28" s="154" t="str">
        <v>$0</v>
      </c>
    </row>
    <row r="29" spans="2:8" x14ac:dyDescent="0.25">
      <c r="B29" s="155">
        <v>2034</v>
      </c>
      <c r="C29" s="154" t="str">
        <v>$0</v>
      </c>
      <c r="D29" s="154" t="str">
        <v>$0</v>
      </c>
      <c r="E29" s="154" t="str">
        <v>$0</v>
      </c>
    </row>
    <row r="30" spans="2:8" x14ac:dyDescent="0.25">
      <c r="B30" s="155" t="str">
        <v>Total</v>
      </c>
      <c r="C30" s="154" t="str">
        <v>$0</v>
      </c>
      <c r="D30" s="154" t="str">
        <v>$0</v>
      </c>
      <c r="E30" s="154" t="str">
        <v>$0</v>
      </c>
    </row>
    <row r="31" spans="2:8" x14ac:dyDescent="0.25">
      <c r="B31" s="155" t="str">
        <v>Annualized</v>
      </c>
      <c r="C31" s="154" t="str">
        <v>$0</v>
      </c>
      <c r="D31" s="154" t="str">
        <v>$0</v>
      </c>
      <c r="E31" s="154" t="str">
        <v>$0</v>
      </c>
    </row>
    <row r="32" spans="2:8" x14ac:dyDescent="0.25">
      <c r="B32" s="155" t="str">
        <v/>
      </c>
      <c r="C32" s="154" t="str">
        <v/>
      </c>
      <c r="D32" s="154" t="str">
        <v/>
      </c>
      <c r="E32" s="154" t="str">
        <v/>
      </c>
    </row>
    <row r="33" spans="2:7" x14ac:dyDescent="0.25">
      <c r="B33" s="155" t="str">
        <v/>
      </c>
      <c r="C33" s="154" t="str">
        <v/>
      </c>
      <c r="D33" s="154" t="str">
        <v/>
      </c>
      <c r="E33" s="154" t="str">
        <v/>
      </c>
    </row>
    <row r="34" spans="2:7" x14ac:dyDescent="0.25">
      <c r="B34" s="155" t="str">
        <v xml:space="preserve">Undiscounted </v>
      </c>
      <c r="C34" s="154" t="str">
        <v/>
      </c>
      <c r="D34" s="154" t="str">
        <v/>
      </c>
      <c r="E34" s="154" t="str">
        <v/>
      </c>
      <c r="G34" s="154" t="s">
        <v>321</v>
      </c>
    </row>
    <row r="35" spans="2:7" x14ac:dyDescent="0.25">
      <c r="B35" s="155" t="str">
        <v>Year</v>
      </c>
      <c r="C35" s="154" t="str">
        <v>IN</v>
      </c>
      <c r="D35" s="154" t="str">
        <v>OUT</v>
      </c>
      <c r="E35" s="154" t="str">
        <v>NET</v>
      </c>
    </row>
    <row r="36" spans="2:7" x14ac:dyDescent="0.25">
      <c r="B36" s="155">
        <v>2025</v>
      </c>
      <c r="C36" s="154" t="str">
        <v>$0</v>
      </c>
      <c r="D36" s="154" t="str">
        <v>$0</v>
      </c>
      <c r="E36" s="154" t="str">
        <v>$0</v>
      </c>
    </row>
    <row r="37" spans="2:7" x14ac:dyDescent="0.25">
      <c r="B37" s="155">
        <v>2026</v>
      </c>
      <c r="C37" s="154" t="str">
        <v>$0</v>
      </c>
      <c r="D37" s="154" t="str">
        <v>$0</v>
      </c>
      <c r="E37" s="154" t="str">
        <v>$0</v>
      </c>
    </row>
    <row r="38" spans="2:7" x14ac:dyDescent="0.25">
      <c r="B38" s="155">
        <v>2027</v>
      </c>
      <c r="C38" s="154" t="str">
        <v>$0</v>
      </c>
      <c r="D38" s="154" t="str">
        <v>$0</v>
      </c>
      <c r="E38" s="154" t="str">
        <v>$0</v>
      </c>
    </row>
    <row r="39" spans="2:7" x14ac:dyDescent="0.25">
      <c r="B39" s="155">
        <v>2028</v>
      </c>
      <c r="C39" s="154" t="str">
        <v>$0</v>
      </c>
      <c r="D39" s="154" t="str">
        <v>$0</v>
      </c>
      <c r="E39" s="154" t="str">
        <v>$0</v>
      </c>
    </row>
    <row r="40" spans="2:7" x14ac:dyDescent="0.25">
      <c r="B40" s="155">
        <v>2029</v>
      </c>
      <c r="C40" s="154" t="str">
        <v>$0</v>
      </c>
      <c r="D40" s="154" t="str">
        <v>$0</v>
      </c>
      <c r="E40" s="154" t="str">
        <v>$0</v>
      </c>
    </row>
    <row r="41" spans="2:7" x14ac:dyDescent="0.25">
      <c r="B41" s="155">
        <v>2030</v>
      </c>
      <c r="C41" s="154" t="str">
        <v>$0</v>
      </c>
      <c r="D41" s="154" t="str">
        <v>$0</v>
      </c>
      <c r="E41" s="154" t="str">
        <v>$0</v>
      </c>
    </row>
    <row r="42" spans="2:7" x14ac:dyDescent="0.25">
      <c r="B42" s="155">
        <v>2031</v>
      </c>
      <c r="C42" s="154" t="str">
        <v>$0</v>
      </c>
      <c r="D42" s="154" t="str">
        <v>$0</v>
      </c>
      <c r="E42" s="154" t="str">
        <v>$0</v>
      </c>
    </row>
    <row r="43" spans="2:7" x14ac:dyDescent="0.25">
      <c r="B43" s="155">
        <v>2032</v>
      </c>
      <c r="C43" s="154" t="str">
        <v>$0</v>
      </c>
      <c r="D43" s="154" t="str">
        <v>$0</v>
      </c>
      <c r="E43" s="154" t="str">
        <v>$0</v>
      </c>
    </row>
    <row r="44" spans="2:7" x14ac:dyDescent="0.25">
      <c r="B44" s="155">
        <v>2033</v>
      </c>
      <c r="C44" s="154" t="str">
        <v>$0</v>
      </c>
      <c r="D44" s="154" t="str">
        <v>$0</v>
      </c>
      <c r="E44" s="154" t="str">
        <v>$0</v>
      </c>
    </row>
    <row r="45" spans="2:7" x14ac:dyDescent="0.25">
      <c r="B45" s="155">
        <v>2034</v>
      </c>
      <c r="C45" s="154" t="str">
        <v>$0</v>
      </c>
      <c r="D45" s="154" t="str">
        <v>$0</v>
      </c>
      <c r="E45" s="154" t="str">
        <v>$0</v>
      </c>
    </row>
    <row r="46" spans="2:7" x14ac:dyDescent="0.25">
      <c r="B46" s="155" t="str">
        <v>Total</v>
      </c>
      <c r="C46" s="154" t="str">
        <v>$0</v>
      </c>
      <c r="D46" s="154" t="str">
        <v>$0</v>
      </c>
      <c r="E46" s="154" t="str">
        <v>$0</v>
      </c>
    </row>
  </sheetData>
  <dataConsolidate/>
  <mergeCells count="2">
    <mergeCell ref="D6:D8"/>
    <mergeCell ref="D9:D13"/>
  </mergeCells>
  <conditionalFormatting sqref="B18:CZ501">
    <cfRule type="endsWith" dxfId="44" priority="3" operator="endsWith" text="illions)">
      <formula>RIGHT(B18,LEN("illions)"))="illions)"</formula>
    </cfRule>
    <cfRule type="expression" dxfId="43" priority="4">
      <formula>$B18="Total"</formula>
    </cfRule>
    <cfRule type="expression" dxfId="42" priority="5">
      <formula>$B18="Undiscounted "</formula>
    </cfRule>
    <cfRule type="expression" dxfId="41" priority="6">
      <formula>$B18="Discounted "</formula>
    </cfRule>
    <cfRule type="expression" dxfId="40" priority="7">
      <formula>$B18="NET "</formula>
    </cfRule>
    <cfRule type="expression" dxfId="39" priority="8">
      <formula>$B18="OUT "</formula>
    </cfRule>
    <cfRule type="expression" dxfId="38" priority="9">
      <formula>$B18="IN "</formula>
    </cfRule>
    <cfRule type="expression" dxfId="37" priority="10">
      <formula>$B18="Year"</formula>
    </cfRule>
    <cfRule type="expression" dxfId="36" priority="12">
      <formula>$B18="Annualized"</formula>
    </cfRule>
    <cfRule type="expression" dxfId="35" priority="13">
      <formula>$B18="Impact"</formula>
    </cfRule>
    <cfRule type="expression" dxfId="34" priority="15">
      <formula>$B18="Activity"</formula>
    </cfRule>
    <cfRule type="notContainsBlanks" dxfId="33" priority="16">
      <formula>LEN(TRIM(B18))&gt;0</formula>
    </cfRule>
  </conditionalFormatting>
  <conditionalFormatting sqref="B16">
    <cfRule type="notContainsBlanks" dxfId="32" priority="1">
      <formula>LEN(TRIM(B16))&gt;0</formula>
    </cfRule>
  </conditionalFormatting>
  <dataValidations xWindow="300" yWindow="452" count="6">
    <dataValidation type="list" allowBlank="1" showInputMessage="1" showErrorMessage="1" sqref="C13" xr:uid="{35D2A821-0E41-42D5-8EC4-2936ECDB8910}">
      <formula1>"Columns, Rows"</formula1>
    </dataValidation>
    <dataValidation type="list" allowBlank="1" showInputMessage="1" showErrorMessage="1" sqref="C12" xr:uid="{4BA29421-5F3E-48CA-9343-AA5F8B99B85D}">
      <formula1>"Discounting, IN | OUT | NET"</formula1>
    </dataValidation>
    <dataValidation type="list" allowBlank="1" showInputMessage="1" showErrorMessage="1" sqref="C10" xr:uid="{67860D19-3AF7-4D82-8711-C50370CDE8D1}">
      <formula1>"0, 1, 2, 3, 4"</formula1>
    </dataValidation>
    <dataValidation type="list" allowBlank="1" showInputMessage="1" showErrorMessage="1" sqref="C11" xr:uid="{CC6CCD21-03A2-47A9-A0C6-4F8F73AE7D5F}">
      <formula1>"Single, Millions, Billions"</formula1>
    </dataValidation>
    <dataValidation type="list" allowBlank="1" showInputMessage="1" showErrorMessage="1" prompt="Text: for copy-pasting into Word. _x000a__x000a_Numbers: for additional manipulations in Excel." sqref="C9:C10" xr:uid="{F3A6CDC7-F5C4-42F1-BA3C-BF1D6A17FE4C}">
      <formula1>"Text, Numbers"</formula1>
    </dataValidation>
    <dataValidation type="list" allowBlank="1" showInputMessage="1" showErrorMessage="1" sqref="C9:C10" xr:uid="{4E4F8827-F38B-4A2A-9DEE-4D0FDE340B38}">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A67EB-1517-4DD5-A8C6-A908CDF6C143}">
  <sheetPr codeName="Sheet10">
    <tabColor rgb="FFF4EE00"/>
    <pageSetUpPr autoPageBreaks="0"/>
  </sheetPr>
  <dimension ref="B2:H19"/>
  <sheetViews>
    <sheetView showGridLines="0" zoomScaleNormal="100" workbookViewId="0">
      <selection activeCell="B19" sqref="B19"/>
    </sheetView>
  </sheetViews>
  <sheetFormatPr defaultColWidth="14" defaultRowHeight="12" x14ac:dyDescent="0.25"/>
  <cols>
    <col min="1" max="1" width="5.140625" style="154" customWidth="1"/>
    <col min="2" max="2" width="45.85546875" style="155" customWidth="1"/>
    <col min="3" max="3" width="20.85546875" style="154" customWidth="1"/>
    <col min="4" max="8" width="14" style="154"/>
    <col min="9" max="9" width="14" style="154" customWidth="1"/>
    <col min="10" max="16384" width="14" style="154"/>
  </cols>
  <sheetData>
    <row r="2" spans="2:5" ht="15.75" x14ac:dyDescent="0.25">
      <c r="B2" s="176" t="s">
        <v>306</v>
      </c>
      <c r="C2" s="158"/>
      <c r="D2" s="158"/>
      <c r="E2" s="158"/>
    </row>
    <row r="3" spans="2:5" ht="12.75" x14ac:dyDescent="0.2">
      <c r="B3" s="177"/>
      <c r="C3" s="158"/>
      <c r="D3" s="158"/>
      <c r="E3" s="158"/>
    </row>
    <row r="4" spans="2:5" ht="12.75" x14ac:dyDescent="0.2">
      <c r="B4" s="177"/>
      <c r="C4" s="158"/>
      <c r="D4" s="158"/>
      <c r="E4" s="158"/>
    </row>
    <row r="5" spans="2:5" ht="12.75" x14ac:dyDescent="0.2">
      <c r="B5" s="160" t="s">
        <v>312</v>
      </c>
      <c r="C5" s="161" t="s">
        <v>132</v>
      </c>
      <c r="D5" s="242" t="s">
        <v>316</v>
      </c>
      <c r="E5" s="158"/>
    </row>
    <row r="6" spans="2:5" ht="12.75" x14ac:dyDescent="0.25">
      <c r="B6" s="163" t="s">
        <v>50</v>
      </c>
      <c r="C6" s="164">
        <f>PriceYear</f>
        <v>2023</v>
      </c>
      <c r="D6" s="267" t="s">
        <v>313</v>
      </c>
      <c r="E6" s="158"/>
    </row>
    <row r="7" spans="2:5" ht="12.75" x14ac:dyDescent="0.25">
      <c r="B7" s="165" t="s">
        <v>51</v>
      </c>
      <c r="C7" s="166">
        <f>Discount</f>
        <v>7.0000000000000007E-2</v>
      </c>
      <c r="D7" s="267"/>
      <c r="E7" s="158"/>
    </row>
    <row r="8" spans="2:5" ht="12.75" x14ac:dyDescent="0.25">
      <c r="B8" s="165" t="s">
        <v>77</v>
      </c>
      <c r="C8" s="167">
        <f>PVBaseYear</f>
        <v>2025</v>
      </c>
      <c r="D8" s="267"/>
      <c r="E8" s="158"/>
    </row>
    <row r="9" spans="2:5" ht="15" customHeight="1" x14ac:dyDescent="0.25">
      <c r="B9" s="168" t="s">
        <v>325</v>
      </c>
      <c r="C9" s="169" t="s">
        <v>324</v>
      </c>
      <c r="D9" s="268" t="s">
        <v>314</v>
      </c>
      <c r="E9" s="158"/>
    </row>
    <row r="10" spans="2:5" ht="12.75" x14ac:dyDescent="0.25">
      <c r="B10" s="170" t="s">
        <v>326</v>
      </c>
      <c r="C10" s="171">
        <v>0</v>
      </c>
      <c r="D10" s="269"/>
      <c r="E10" s="172"/>
    </row>
    <row r="11" spans="2:5" ht="12.75" x14ac:dyDescent="0.25">
      <c r="B11" s="170" t="s">
        <v>72</v>
      </c>
      <c r="C11" s="171" t="s">
        <v>73</v>
      </c>
      <c r="D11" s="269"/>
      <c r="E11" s="158"/>
    </row>
    <row r="12" spans="2:5" ht="12.75" x14ac:dyDescent="0.25">
      <c r="B12" s="170" t="s">
        <v>247</v>
      </c>
      <c r="C12" s="171" t="s">
        <v>301</v>
      </c>
      <c r="D12" s="269"/>
      <c r="E12" s="158"/>
    </row>
    <row r="13" spans="2:5" ht="12.75" x14ac:dyDescent="0.25">
      <c r="B13" s="170" t="s">
        <v>304</v>
      </c>
      <c r="C13" s="171" t="s">
        <v>308</v>
      </c>
      <c r="D13" s="269"/>
      <c r="E13" s="158"/>
    </row>
    <row r="14" spans="2:5" ht="12.75" x14ac:dyDescent="0.25">
      <c r="B14" s="173" t="s">
        <v>302</v>
      </c>
      <c r="C14" s="174" t="s">
        <v>303</v>
      </c>
      <c r="D14" s="270"/>
      <c r="E14" s="158"/>
    </row>
    <row r="15" spans="2:5" ht="12.75" x14ac:dyDescent="0.25">
      <c r="B15" s="172"/>
      <c r="C15" s="158"/>
      <c r="D15" s="158"/>
      <c r="E15" s="158"/>
    </row>
    <row r="16" spans="2:5" ht="12.75" x14ac:dyDescent="0.25">
      <c r="B16" s="175" t="s">
        <v>246</v>
      </c>
      <c r="C16" s="158"/>
      <c r="D16" s="158"/>
      <c r="E16" s="158"/>
    </row>
    <row r="17" spans="2:8" ht="12.75" x14ac:dyDescent="0.25">
      <c r="B17" s="172" t="str" cm="1">
        <f t="array" ref="B17">IF(NoErrors, "", "There are unresolved errors on the Activities sheet.")</f>
        <v>There are unresolved errors on the Activities sheet.</v>
      </c>
    </row>
    <row r="19" spans="2:8" s="179" customFormat="1" x14ac:dyDescent="0.25">
      <c r="B19" s="178" t="str" cm="1">
        <f t="array" ref="B19">_xlfn.LET(
_xlpm.M, 1/10^IF($C$11="Millions", 6, IF($C$11="Billions", 9)),
_xlpm.M_txt, IF($C$11="Millions", " ($ millions)", IF($C$11="Billions", " ($ billions)", "")),
_xlpm.L, $C$14="Columns",
_xlpm.A, _xlfn.UNIQUE(_xlfn._xlws.FILTER(tbl_Activities[Activity], Checkblank)),
_xlpm.A_IN, _xlfn.UNIQUE(_xlfn._xlws.FILTER(tbl_Activities[Activity], (tbl_Activities[In or Out]="In")*Checkblank)),
_xlpm.A_OUT, _xlfn.UNIQUE(_xlfn._xlws.FILTER(tbl_Activities[Activity], (tbl_Activities[In or Out]="Out")*Checkblank)),
_xlpm.B, _xlfn.VSTACK("", ""),
_xlpm.s, IF($C$13="Default", 1, IF($C$13="Total Impact (↑)", 2, IF($C$13="Total Impact (↓)", 3, IF($C$13="Activity (↑az)", 4, IF($C$13="Activity (↓za)", 5))))),
_xlpm.hd, _xlfn.HSTACK("Activity", YrsHdr_D),
_xlpm.hu, _xlfn.HSTACK("Activity", YrsHdr_U),
_xlpm.id, "IN, Discounted"&amp;_xlpm.M_txt,
_xlpm.iu, "IN, Undiscounted"&amp;_xlpm.M_txt,
_xlpm.od, "OUT, Discounted"&amp;_xlpm.M_txt,
_xlpm.ou, "OUT, Undiscounted"&amp;_xlpm.M_txt,
_xlpm.nd, "NET, Discounted"&amp;_xlpm.M_txt,
_xlpm.nu, "NET, Undiscounted"&amp;_xlpm.M_txt,
_xlpm.d, --($C$9="Text"),
_xlpm.NUMTXT, _xlfn.LAMBDA(_xlpm.Value,_xlpm.Decimals,_xlpm.Text, IF(_xlpm.Text=1, DOLLAR(_xlpm.Value, _xlpm.Decimals), _xlpm.Value)),
_xlpm.IN_D,
     _xlfn.LET(_xlpm.x, _xlfn.MAKEARRAY(ROWS(_xlpm.A_IN), Time, _xlfn.LAMBDA(_xlpm.r,_xlpm.c,
     SUMIFS(FO_ImpactD, FO_InOut, "In", FO_Yrs, INDEX(Yrs, _xlpm.c), FO_Act, INDEX(_xlpm.A_IN, _xlpm.r)))),
     _xlpm.y, _xlfn.BYROW(_xlpm.x, _xlfn.LAMBDA(_xlpm.a, SUM(_xlpm.a))),
     _xlpm.z, _xlfn.HSTACK(_xlpm.x, _xlpm.y, _xlpm.y*AF),
     _xlpm.e, _xlfn.HSTACK(_xlpm.A_IN, _xlpm.z),
     _xlpm.f, IF(_xlpm.s=1, _xlpm.e, _xlfn._xlws.SORT(_xlpm.e, IF(_xlpm.s&lt;4, COLUMNS(_xlpm.e), 1), IF(ISEVEN(_xlpm.s),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_xlfn.MAKEARRAY(ROWS(_xlpm.A_IN), Time, _xlfn.LAMBDA(_xlpm.r,_xlpm.c,
     SUMIFS(FO_ImpactU, FO_InOut, "In", FO_Yrs, INDEX(Yrs, _xlpm.c), FO_Act, INDEX(_xlpm.A_IN, _xlpm.r)))),
     _xlpm.y, _xlfn.BYROW(_xlpm.x, _xlfn.LAMBDA(_xlpm.a, SUM(_xlpm.a))),
     _xlpm.z, _xlfn.HSTACK(_xlpm.x, _xlpm.y),
     _xlpm.e, _xlfn.HSTACK(_xlpm.A_IN, _xlpm.z),
     _xlpm.f, IF(_xlpm.s=1, _xlpm.e, _xlfn._xlws.SORT(_xlpm.e, IF(_xlpm.s&lt;4, COLUMNS(_xlpm.e), 1), IF(ISEVEN(_xlpm.s),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_xlfn.MAKEARRAY(ROWS(_xlpm.A_OUT), Time, _xlfn.LAMBDA(_xlpm.r,_xlpm.c,
     SUMIFS(FO_ImpactD, FO_InOut, "Out", FO_Yrs, INDEX(Yrs, _xlpm.c), FO_Act, INDEX(_xlpm.A_OUT, _xlpm.r)))),
     _xlpm.y, _xlfn.BYROW(_xlpm.x, _xlfn.LAMBDA(_xlpm.a, SUM(_xlpm.a))),
     _xlpm.z, -_xlfn.HSTACK(_xlpm.x, _xlpm.y, _xlpm.y*AF),
     _xlpm.e, _xlfn.HSTACK(_xlpm.A_OUT, _xlpm.z),
     _xlpm.f, IF(_xlpm.s=1, _xlpm.e, _xlfn._xlws.SORT(_xlpm.e, IF(_xlpm.s&lt;4, COLUMNS(_xlpm.e), 1), IF(ISEVEN(_xlpm.s),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_xlfn.MAKEARRAY(ROWS(_xlpm.A_OUT), Time, _xlfn.LAMBDA(_xlpm.r,_xlpm.c,
     SUMIFS(FO_ImpactU, FO_InOut, "Out", FO_Yrs, INDEX(Yrs, _xlpm.c), FO_Act, INDEX(_xlpm.A_OUT, _xlpm.r)))),
     _xlpm.y, _xlfn.BYROW(_xlpm.x, _xlfn.LAMBDA(_xlpm.a, SUM(_xlpm.a))),
     _xlpm.z, -_xlfn.HSTACK(_xlpm.x, _xlpm.y),
     _xlpm.e, _xlfn.HSTACK(_xlpm.A_OUT, _xlpm.z),
     _xlpm.f, IF(_xlpm.s=1, _xlpm.e, _xlfn._xlws.SORT(_xlpm.e, IF(_xlpm.s&lt;4, COLUMNS(_xlpm.e), 1), IF(ISEVEN(_xlpm.s),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_xlfn.MAKEARRAY(ROWS(_xlpm.A), Time, _xlfn.LAMBDA(_xlpm.r,_xlpm.c,
     SUMIFS(FO_ImpactD, FO_Yrs, INDEX(Yrs, _xlpm.c), FO_Act, INDEX(_xlpm.A, _xlpm.r)))),
     _xlpm.y, _xlfn.BYROW(_xlpm.x, _xlfn.LAMBDA(_xlpm.a, SUM(_xlpm.a))),
     _xlpm.z, -_xlfn.HSTACK(_xlpm.x, _xlpm.y, _xlpm.y*AF),
     _xlpm.e, _xlfn.HSTACK(_xlpm.A, _xlpm.z),
     _xlpm.f, IF(_xlpm.s=1, _xlpm.e, _xlfn._xlws.SORT(_xlpm.e, IF(_xlpm.s&lt;4, COLUMNS(_xlpm.e), 1), IF(ISEVEN(_xlpm.s),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_xlfn.MAKEARRAY(ROWS(_xlpm.A), Time, _xlfn.LAMBDA(_xlpm.r,_xlpm.c,
     SUMIFS(FO_ImpactU, FO_Yrs, INDEX(Yrs, _xlpm.c), FO_Act, INDEX(_xlpm.A, _xlpm.r)))),
     _xlpm.y, _xlfn.BYROW(_xlpm.x, _xlfn.LAMBDA(_xlpm.a, SUM(_xlpm.a))),
     _xlpm.z, -_xlfn.HSTACK(_xlpm.x, _xlpm.y),
     _xlpm.e, _xlfn.HSTACK(_xlpm.A, _xlpm.z),
     _xlpm.f, IF(_xlpm.s=1, _xlpm.e, _xlfn._xlws.SORT(_xlpm.e, IF(_xlpm.s&lt;4, COLUMNS(_xlpm.e), 1), IF(ISEVEN(_xlpm.s),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c r="H19" s="180"/>
    </row>
  </sheetData>
  <dataConsolidate/>
  <mergeCells count="2">
    <mergeCell ref="D6:D8"/>
    <mergeCell ref="D9:D14"/>
  </mergeCells>
  <conditionalFormatting sqref="B20:CZ502">
    <cfRule type="expression" dxfId="31" priority="10">
      <formula>$B20="Year"</formula>
    </cfRule>
    <cfRule type="expression" dxfId="30" priority="11">
      <formula>$B21="Year"</formula>
    </cfRule>
    <cfRule type="expression" dxfId="29" priority="12">
      <formula>$B20="Annualized"</formula>
    </cfRule>
    <cfRule type="expression" dxfId="28" priority="16">
      <formula>$B20="Total"</formula>
    </cfRule>
    <cfRule type="containsText" dxfId="27" priority="17" operator="containsText" text="Discounted">
      <formula>NOT(ISERROR(SEARCH("Discounted",B20)))</formula>
    </cfRule>
    <cfRule type="expression" dxfId="26" priority="19">
      <formula>$B20="Activity"</formula>
    </cfRule>
    <cfRule type="notContainsBlanks" dxfId="25" priority="20">
      <formula>LEN(TRIM(B20))&gt;0</formula>
    </cfRule>
  </conditionalFormatting>
  <conditionalFormatting sqref="B17">
    <cfRule type="notContainsBlanks" dxfId="24" priority="1">
      <formula>LEN(TRIM(B17))&gt;0</formula>
    </cfRule>
  </conditionalFormatting>
  <dataValidations count="6">
    <dataValidation type="list" allowBlank="1" showInputMessage="1" showErrorMessage="1" sqref="C11" xr:uid="{33911ECE-E735-4281-AC04-5023BF046E61}">
      <formula1>"Single, Millions, Billions"</formula1>
    </dataValidation>
    <dataValidation type="list" allowBlank="1" showInputMessage="1" showErrorMessage="1" sqref="C10" xr:uid="{A508D99E-B10C-40FD-B22E-F6612B66D71C}">
      <formula1>"0, 1, 2, 3, 4"</formula1>
    </dataValidation>
    <dataValidation type="list" allowBlank="1" showInputMessage="1" showErrorMessage="1" sqref="C12" xr:uid="{9BF04C39-5745-46AD-93A6-9BC3CD6F5421}">
      <formula1>"Discounting, IN | OUT | NET"</formula1>
    </dataValidation>
    <dataValidation type="list" allowBlank="1" showInputMessage="1" showErrorMessage="1" sqref="C14" xr:uid="{12B2E336-BF3E-403D-9329-D28E92A0BD05}">
      <formula1>"Columns, Rows"</formula1>
    </dataValidation>
    <dataValidation type="list" allowBlank="1" showInputMessage="1" showErrorMessage="1" prompt="Default lists the activities by the order in which they appear on the Activities sheet." sqref="C13" xr:uid="{581A222D-4809-432F-A3B7-71CB7A553B0E}">
      <formula1>"Default, Total Impact (↑), Total Impact (↓), Activity (↑az), Activity (↓za)"</formula1>
    </dataValidation>
    <dataValidation type="list" allowBlank="1" showInputMessage="1" showErrorMessage="1" prompt="Text: for copy-pasting into Word. _x000a__x000a_Numbers: for additional manipulations in Excel." sqref="C9:C10" xr:uid="{020A922A-1593-47BC-9AE4-6BFFE6AE8134}">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A434-BAE3-4084-A60F-A515E04FFF87}">
  <sheetPr codeName="Sheet11">
    <tabColor rgb="FFF4EE00"/>
  </sheetPr>
  <dimension ref="B2:E20"/>
  <sheetViews>
    <sheetView showGridLines="0" zoomScale="115" zoomScaleNormal="115" workbookViewId="0">
      <selection activeCell="B19" sqref="B19"/>
    </sheetView>
  </sheetViews>
  <sheetFormatPr defaultColWidth="16.28515625" defaultRowHeight="12" x14ac:dyDescent="0.25"/>
  <cols>
    <col min="1" max="1" width="9" style="154" customWidth="1"/>
    <col min="2" max="2" width="46.42578125" style="184" customWidth="1"/>
    <col min="3" max="3" width="22" style="154" customWidth="1"/>
    <col min="4" max="5" width="16.28515625" style="154"/>
    <col min="6" max="6" width="15.28515625" style="154" customWidth="1"/>
    <col min="7" max="19" width="16.28515625" style="154"/>
    <col min="20" max="20" width="17" style="154" customWidth="1"/>
    <col min="21" max="16384" width="16.28515625" style="154"/>
  </cols>
  <sheetData>
    <row r="2" spans="2:5" ht="15.75" x14ac:dyDescent="0.25">
      <c r="B2" s="181" t="s">
        <v>305</v>
      </c>
      <c r="C2" s="158"/>
      <c r="D2" s="158"/>
    </row>
    <row r="3" spans="2:5" ht="12.75" x14ac:dyDescent="0.25">
      <c r="B3" s="182"/>
      <c r="C3" s="158"/>
      <c r="D3" s="158"/>
    </row>
    <row r="4" spans="2:5" ht="12.75" x14ac:dyDescent="0.25">
      <c r="B4" s="182"/>
      <c r="C4" s="158"/>
      <c r="D4" s="158"/>
    </row>
    <row r="5" spans="2:5" ht="12.75" x14ac:dyDescent="0.25">
      <c r="B5" s="183" t="s">
        <v>312</v>
      </c>
      <c r="C5" s="162" t="s">
        <v>132</v>
      </c>
      <c r="D5" s="242" t="s">
        <v>316</v>
      </c>
    </row>
    <row r="6" spans="2:5" ht="12.75" x14ac:dyDescent="0.25">
      <c r="B6" s="163" t="s">
        <v>50</v>
      </c>
      <c r="C6" s="164">
        <f>PriceYear</f>
        <v>2023</v>
      </c>
      <c r="D6" s="266" t="s">
        <v>313</v>
      </c>
    </row>
    <row r="7" spans="2:5" ht="12.75" x14ac:dyDescent="0.25">
      <c r="B7" s="165" t="s">
        <v>51</v>
      </c>
      <c r="C7" s="166">
        <f>Discount</f>
        <v>7.0000000000000007E-2</v>
      </c>
      <c r="D7" s="267"/>
    </row>
    <row r="8" spans="2:5" ht="12.75" x14ac:dyDescent="0.25">
      <c r="B8" s="165" t="s">
        <v>77</v>
      </c>
      <c r="C8" s="167">
        <f>PVBaseYear</f>
        <v>2025</v>
      </c>
      <c r="D8" s="267"/>
    </row>
    <row r="9" spans="2:5" ht="15" customHeight="1" x14ac:dyDescent="0.25">
      <c r="B9" s="168" t="s">
        <v>325</v>
      </c>
      <c r="C9" s="169" t="s">
        <v>324</v>
      </c>
      <c r="D9" s="268" t="s">
        <v>314</v>
      </c>
    </row>
    <row r="10" spans="2:5" ht="12.75" x14ac:dyDescent="0.25">
      <c r="B10" s="170" t="s">
        <v>326</v>
      </c>
      <c r="C10" s="171">
        <v>0</v>
      </c>
      <c r="D10" s="269"/>
      <c r="E10" s="184"/>
    </row>
    <row r="11" spans="2:5" ht="12.75" x14ac:dyDescent="0.25">
      <c r="B11" s="170" t="s">
        <v>72</v>
      </c>
      <c r="C11" s="171" t="s">
        <v>73</v>
      </c>
      <c r="D11" s="269"/>
    </row>
    <row r="12" spans="2:5" ht="12.75" x14ac:dyDescent="0.25">
      <c r="B12" s="170" t="s">
        <v>247</v>
      </c>
      <c r="C12" s="171" t="s">
        <v>301</v>
      </c>
      <c r="D12" s="269"/>
    </row>
    <row r="13" spans="2:5" ht="12.75" x14ac:dyDescent="0.25">
      <c r="B13" s="170" t="s">
        <v>304</v>
      </c>
      <c r="C13" s="171" t="s">
        <v>308</v>
      </c>
      <c r="D13" s="269"/>
    </row>
    <row r="14" spans="2:5" ht="12.75" x14ac:dyDescent="0.25">
      <c r="B14" s="173" t="s">
        <v>302</v>
      </c>
      <c r="C14" s="174" t="s">
        <v>303</v>
      </c>
      <c r="D14" s="270"/>
    </row>
    <row r="15" spans="2:5" ht="12.75" x14ac:dyDescent="0.25">
      <c r="B15" s="172"/>
      <c r="C15" s="158"/>
      <c r="D15" s="158"/>
    </row>
    <row r="16" spans="2:5" ht="12.75" x14ac:dyDescent="0.25">
      <c r="B16" s="175" t="s">
        <v>246</v>
      </c>
      <c r="C16" s="158"/>
      <c r="D16" s="158"/>
    </row>
    <row r="17" spans="2:5" ht="12.75" x14ac:dyDescent="0.25">
      <c r="B17" s="172" t="str" cm="1">
        <f t="array" ref="B17">IF(NoErrors, "", "There are unresolved errors on the Activities sheet.")</f>
        <v>There are unresolved errors on the Activities sheet.</v>
      </c>
    </row>
    <row r="19" spans="2:5" s="185" customFormat="1" x14ac:dyDescent="0.25">
      <c r="B19" s="185" t="str" cm="1">
        <f t="array" ref="B19">_xlfn.LET(
_xlpm.M, 1/10^IF($C$11="Millions", 6, IF($C$11="Billions", 9)),
_xlpm.M_txt, IF($C$11="Millions", " ($ millions)", IF($C$11="Billions", " ($ billions)", "")),
_xlpm.L, $C$14="Columns",
_xlpm.p, _xlfn.LET(_xlpm.x, StakesIN, _xlpm.y, SUM(IF(_xlpm.x="All Groups", 1, 0)), _xlpm.z, IF(_xlpm.y=1, Groups, _xlpm.x), _xlpm.z),
_xlpm.q, _xlfn.LET(_xlpm.x, StakesOUT, _xlpm.y, SUM(IF(_xlpm.x="All Groups", 1, 0)), _xlpm.z, IF(_xlpm.y=1, Groups, _xlpm.x), _xlpm.z),
_xlpm.B, _xlfn.VSTACK("", ""),
_xlpm.s, IF($C$13="Default", 1, IF($C$13="Total Impact (↑)", 2, IF($C$13="Total Impact (↓)", 3, IF($C$13="Stakeholder Group (↑az)", 4, IF($C$13="Stakeholder Group (↓za)", 5))))),
_xlpm.hd, _xlfn.HSTACK("Stakeholder Group", YrsHdr_D),
_xlpm.hu, _xlfn.HSTACK("Stakeholder Group", YrsHdr_U),
_xlpm.id, "IN, Discounted"&amp;_xlpm.M_txt,
_xlpm.iu, "IN, Undiscounted"&amp;_xlpm.M_txt,
_xlpm.od, "OUT, Discounted"&amp;_xlpm.M_txt,
_xlpm.ou, "OUT, Undiscounted"&amp;_xlpm.M_txt,
_xlpm.nd, "NET, Discounted"&amp;_xlpm.M_txt,
_xlpm.nu, "NET, Undiscounted"&amp;_xlpm.M_txt,
_xlpm.FO_Impact,_xlfn.ANCHORARRAY( 'Full Output'!$AP$2),
_xlpm.d, --($C$9="Text"),
_xlpm.NUMTXT, _xlfn.LAMBDA(_xlpm.Value,_xlpm.Decimals,_xlpm.Text, IF(_xlpm.Text=1, DOLLAR(_xlpm.Value, _xlpm.Decimals), _xlpm.Value)),
_xlpm.IN_D,
     _xlfn.LET(_xlpm.x, _xlfn.MAKEARRAY(ROWS(_xlpm.p), Time, _xlfn.LAMBDA(_xlpm.r,_xlpm.c,
     SUMIFS(INDEX(_xlpm.FO_Impact, , StakeholderCols+MATCH(INDEX(_xlpm.p, _xlpm.r, 1), Groups, 0)), FO_InOut, "In", FO_Yrs, INDEX(Yrs, _xlpm.c,)))),
     _xlpm.y, _xlfn.BYROW(_xlpm.x, _xlfn.LAMBDA(_xlpm.a, SUM(_xlpm.a))),
     _xlpm.z, _xlfn.HSTACK(_xlpm.x, _xlpm.y, _xlpm.y*AF),
     _xlpm.e, _xlfn.HSTACK(_xlpm.p, _xlpm.z),
     _xlpm.f, IF(_xlpm.s=1, _xlpm.e, _xlfn._xlws.SORT(_xlpm.e, IF(OR(_xlpm.s=2, _xlpm.s=3), COLUMNS(_xlpm.e), 1), IF(OR(_xlpm.s=2, _xlpm.s=4),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_xlfn.MAKEARRAY(ROWS(_xlpm.p), Time, _xlfn.LAMBDA(_xlpm.r,_xlpm.c,
     SUMIFS(INDEX(_xlpm.FO_Impact, , MATCH(INDEX(_xlpm.p, _xlpm.r, 1), Groups, 0)), FO_InOut, "In", FO_Yrs, INDEX(Yrs, _xlpm.c,)))),
     _xlpm.y, _xlfn.BYROW(_xlpm.x, _xlfn.LAMBDA(_xlpm.a, SUM(_xlpm.a))),
     _xlpm.z, _xlfn.HSTACK(_xlpm.x, _xlpm.y),
     _xlpm.e, _xlfn.HSTACK(_xlpm.p, _xlpm.z),
     _xlpm.f, IF(_xlpm.s=1, _xlpm.e, _xlfn._xlws.SORT(_xlpm.e, IF(OR(_xlpm.s=2, _xlpm.s=3), COLUMNS(_xlpm.e), 1), IF(OR(_xlpm.s=2, _xlpm.s=4),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_xlfn.MAKEARRAY(ROWS(_xlpm.q), Time, _xlfn.LAMBDA(_xlpm.r,_xlpm.c,
     SUMIFS(INDEX(_xlpm.FO_Impact, ,StakeholderCols+MATCH(INDEX(_xlpm.q, _xlpm.r, 1), Groups, 0)), FO_InOut, "Out", FO_Yrs, INDEX(Yrs, _xlpm.c,)))),
     _xlpm.y, _xlfn.BYROW(_xlpm.x, _xlfn.LAMBDA(_xlpm.a, SUM(_xlpm.a))),
     _xlpm.z, -_xlfn.HSTACK(_xlpm.x, _xlpm.y, _xlpm.y*AF),
     _xlpm.e, _xlfn.HSTACK(_xlpm.q, _xlpm.z),
     _xlpm.f, IF(_xlpm.s=1, _xlpm.e, _xlfn._xlws.SORT(_xlpm.e, IF(OR(_xlpm.s=2, _xlpm.s=3), COLUMNS(_xlpm.e), 1), IF(OR(_xlpm.s=2, _xlpm.s=4),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_xlfn.MAKEARRAY(ROWS(_xlpm.q), Time, _xlfn.LAMBDA(_xlpm.r,_xlpm.c,
     SUMIFS(INDEX(_xlpm.FO_Impact, , MATCH(INDEX(_xlpm.q, _xlpm.r, 1), Groups, 0)), FO_InOut, "Out", FO_Yrs, INDEX(Yrs, _xlpm.c,)))),
     _xlpm.y, _xlfn.BYROW(_xlpm.x, _xlfn.LAMBDA(_xlpm.a, SUM(_xlpm.a))),
     _xlpm.z, -_xlfn.HSTACK(_xlpm.x, _xlpm.y),
     _xlpm.e, _xlfn.HSTACK(_xlpm.q, _xlpm.z),
     _xlpm.f, IF(_xlpm.s=1, _xlpm.e, _xlfn._xlws.SORT(_xlpm.e, IF(OR(_xlpm.s=2, _xlpm.s=3), COLUMNS(_xlpm.e), 1), IF(OR(_xlpm.s=2, _xlpm.s=4),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_xlfn.MAKEARRAY(StakeholderCols, Time, _xlfn.LAMBDA(_xlpm.r,_xlpm.c,
     SUMIFS(INDEX(_xlpm.FO_Impact, ,_xlpm.r+StakeholderCols), FO_Yrs, INDEX(Yrs, _xlpm.c,)))),
     _xlpm.y, _xlfn.BYROW(_xlpm.x, _xlfn.LAMBDA(_xlpm.a, SUM(_xlpm.a))),
     _xlpm.z, -_xlfn.HSTACK(_xlpm.x, _xlpm.y, _xlpm.y*AF),
     _xlpm.e, _xlfn.HSTACK(Groups, _xlpm.z),
     _xlpm.f, IF(_xlpm.s=1, _xlpm.e, _xlfn._xlws.SORT(_xlpm.e, IF(OR(_xlpm.s=2, _xlpm.s=3), COLUMNS(_xlpm.e), 1), IF(OR(_xlpm.s=2, _xlpm.s=4),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_xlfn.MAKEARRAY(StakeholderCols, Time, _xlfn.LAMBDA(_xlpm.r,_xlpm.c,
     SUMIFS(INDEX(_xlpm.FO_Impact, ,_xlpm.r), FO_Yrs, INDEX(Yrs, _xlpm.c,)))),
     _xlpm.y, _xlfn.BYROW(_xlpm.x, _xlfn.LAMBDA(_xlpm.a, SUM(_xlpm.a))),
     _xlpm.z, -_xlfn.HSTACK(_xlpm.x, _xlpm.y),
     _xlpm.e, _xlfn.HSTACK(Groups, _xlpm.z),
     _xlpm.f, IF(_xlpm.s=1, _xlpm.e, _xlfn._xlws.SORT(_xlpm.e, IF(OR(_xlpm.s=2, _xlpm.s=3), COLUMNS(_xlpm.e), 1), IF(OR(_xlpm.s=2, _xlpm.s=4),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row>
    <row r="20" spans="2:5" x14ac:dyDescent="0.25">
      <c r="E20" s="179"/>
    </row>
  </sheetData>
  <mergeCells count="2">
    <mergeCell ref="D6:D8"/>
    <mergeCell ref="D9:D14"/>
  </mergeCells>
  <conditionalFormatting sqref="B19:CZ502">
    <cfRule type="expression" dxfId="23" priority="3">
      <formula>$B19="Year"</formula>
    </cfRule>
    <cfRule type="expression" dxfId="22" priority="5">
      <formula>$B19="Annualized"</formula>
    </cfRule>
    <cfRule type="containsText" dxfId="21" priority="6" operator="containsText" text="Discounted">
      <formula>NOT(ISERROR(SEARCH("Discounted",B19)))</formula>
    </cfRule>
    <cfRule type="expression" dxfId="20" priority="8">
      <formula>$B19="Total"</formula>
    </cfRule>
    <cfRule type="expression" dxfId="19" priority="9">
      <formula>$B19="Stakeholder Group"</formula>
    </cfRule>
    <cfRule type="notContainsBlanks" dxfId="18" priority="10">
      <formula>LEN(TRIM(B19))&gt;0</formula>
    </cfRule>
  </conditionalFormatting>
  <conditionalFormatting sqref="B17">
    <cfRule type="notContainsBlanks" dxfId="17" priority="1">
      <formula>LEN(TRIM(B17))&gt;0</formula>
    </cfRule>
  </conditionalFormatting>
  <dataValidations count="7">
    <dataValidation type="list" allowBlank="1" showInputMessage="1" showErrorMessage="1" sqref="C10" xr:uid="{77A1A692-4830-4241-9955-C37685488C40}">
      <formula1>"0, 1, 2, 3, 4"</formula1>
    </dataValidation>
    <dataValidation type="list" allowBlank="1" showInputMessage="1" showErrorMessage="1" sqref="C11" xr:uid="{2D1CF8B9-B73A-4BCA-85EC-CB482BEA9845}">
      <formula1>"Single, Millions, Billions"</formula1>
    </dataValidation>
    <dataValidation type="list" allowBlank="1" showInputMessage="1" showErrorMessage="1" sqref="C12" xr:uid="{1060E1D7-DF1F-4176-A631-AC645D2CD19D}">
      <formula1>"Discounting, IN | OUT | NET"</formula1>
    </dataValidation>
    <dataValidation type="list" allowBlank="1" showInputMessage="1" showErrorMessage="1" sqref="C14" xr:uid="{BB34237B-AF63-4A49-A9D9-54A41C374CE0}">
      <formula1>"Columns, Rows"</formula1>
    </dataValidation>
    <dataValidation type="list" allowBlank="1" showInputMessage="1" showErrorMessage="1" prompt="Default lists stakeholder groups by the order in which they appear on the Stakeholder Profile sheet. " sqref="C13" xr:uid="{4B3DE7DE-FD2B-455B-861B-4ACC82378DC9}">
      <formula1>"Default, Total Impact (↑), Total Impact (↓), Stakeholder Group (↑az), Stakeholder Group (↓za)"</formula1>
    </dataValidation>
    <dataValidation type="list" allowBlank="1" showInputMessage="1" showErrorMessage="1" prompt="Text: for copy-pasting into Word. _x000a__x000a_Numbers: for additional manipulations in Excel." sqref="C9:C10" xr:uid="{C9604749-31C7-4CCA-8BB0-3D3AF1C895DF}">
      <formula1>"Text, Numbers"</formula1>
    </dataValidation>
    <dataValidation type="list" allowBlank="1" showInputMessage="1" showErrorMessage="1" prompt="Text: for copy-pasting into Word. _x000a__x000a_Numbers: for additional manipulations in Excel." sqref="C9:C10" xr:uid="{75D11548-3DA1-485E-BC87-A20FA587469E}">
      <formula1>"Text, Number"</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A5963-3A87-4661-8B0C-513E9051B928}">
  <sheetPr codeName="Sheet16">
    <tabColor rgb="FFFFFF00"/>
  </sheetPr>
  <dimension ref="B2:E19"/>
  <sheetViews>
    <sheetView showGridLines="0" zoomScaleNormal="100" workbookViewId="0">
      <selection activeCell="B19" sqref="B19"/>
    </sheetView>
  </sheetViews>
  <sheetFormatPr defaultColWidth="9.140625" defaultRowHeight="12" x14ac:dyDescent="0.25"/>
  <cols>
    <col min="1" max="1" width="9.140625" style="154"/>
    <col min="2" max="2" width="43.5703125" style="184" customWidth="1"/>
    <col min="3" max="3" width="34.7109375" style="154" customWidth="1"/>
    <col min="4" max="4" width="20.7109375" style="154" customWidth="1"/>
    <col min="5" max="15" width="14.140625" style="154" customWidth="1"/>
    <col min="16" max="16384" width="9.140625" style="154"/>
  </cols>
  <sheetData>
    <row r="2" spans="2:5" ht="15.75" x14ac:dyDescent="0.25">
      <c r="B2" s="181" t="s">
        <v>322</v>
      </c>
      <c r="C2" s="158"/>
      <c r="D2" s="158"/>
    </row>
    <row r="3" spans="2:5" ht="12.75" x14ac:dyDescent="0.25">
      <c r="B3" s="182"/>
      <c r="C3" s="158"/>
      <c r="D3" s="158"/>
    </row>
    <row r="4" spans="2:5" ht="12.75" x14ac:dyDescent="0.25">
      <c r="B4" s="182"/>
      <c r="C4" s="158"/>
      <c r="D4" s="158"/>
    </row>
    <row r="5" spans="2:5" ht="12.75" x14ac:dyDescent="0.25">
      <c r="B5" s="183" t="s">
        <v>312</v>
      </c>
      <c r="C5" s="162" t="s">
        <v>132</v>
      </c>
      <c r="D5" s="242" t="s">
        <v>316</v>
      </c>
    </row>
    <row r="6" spans="2:5" ht="12.75" x14ac:dyDescent="0.25">
      <c r="B6" s="163" t="s">
        <v>50</v>
      </c>
      <c r="C6" s="164">
        <f>PriceYear</f>
        <v>2023</v>
      </c>
      <c r="D6" s="266" t="s">
        <v>313</v>
      </c>
    </row>
    <row r="7" spans="2:5" ht="12.75" x14ac:dyDescent="0.25">
      <c r="B7" s="165" t="s">
        <v>51</v>
      </c>
      <c r="C7" s="166">
        <f>Discount</f>
        <v>7.0000000000000007E-2</v>
      </c>
      <c r="D7" s="267"/>
    </row>
    <row r="8" spans="2:5" ht="12.75" x14ac:dyDescent="0.25">
      <c r="B8" s="165" t="s">
        <v>77</v>
      </c>
      <c r="C8" s="167">
        <f>PVBaseYear</f>
        <v>2025</v>
      </c>
      <c r="D8" s="267"/>
    </row>
    <row r="9" spans="2:5" ht="15" customHeight="1" x14ac:dyDescent="0.25">
      <c r="B9" s="168" t="s">
        <v>325</v>
      </c>
      <c r="C9" s="169" t="s">
        <v>324</v>
      </c>
      <c r="D9" s="268" t="s">
        <v>314</v>
      </c>
    </row>
    <row r="10" spans="2:5" ht="12.75" x14ac:dyDescent="0.25">
      <c r="B10" s="170" t="s">
        <v>326</v>
      </c>
      <c r="C10" s="171">
        <v>0</v>
      </c>
      <c r="D10" s="269"/>
      <c r="E10" s="184"/>
    </row>
    <row r="11" spans="2:5" ht="12.75" x14ac:dyDescent="0.25">
      <c r="B11" s="170" t="s">
        <v>72</v>
      </c>
      <c r="C11" s="171" t="s">
        <v>73</v>
      </c>
      <c r="D11" s="269"/>
    </row>
    <row r="12" spans="2:5" ht="12.75" x14ac:dyDescent="0.25">
      <c r="B12" s="170" t="s">
        <v>247</v>
      </c>
      <c r="C12" s="171" t="s">
        <v>301</v>
      </c>
      <c r="D12" s="269"/>
    </row>
    <row r="13" spans="2:5" ht="12.75" x14ac:dyDescent="0.25">
      <c r="B13" s="170" t="s">
        <v>304</v>
      </c>
      <c r="C13" s="171" t="s">
        <v>308</v>
      </c>
      <c r="D13" s="269"/>
    </row>
    <row r="14" spans="2:5" ht="12.75" x14ac:dyDescent="0.25">
      <c r="B14" s="173" t="s">
        <v>302</v>
      </c>
      <c r="C14" s="174" t="s">
        <v>303</v>
      </c>
      <c r="D14" s="270"/>
    </row>
    <row r="15" spans="2:5" ht="12.75" x14ac:dyDescent="0.25">
      <c r="B15" s="172"/>
      <c r="C15" s="158"/>
      <c r="D15" s="158"/>
    </row>
    <row r="16" spans="2:5" ht="12.75" x14ac:dyDescent="0.25">
      <c r="B16" s="175" t="s">
        <v>246</v>
      </c>
      <c r="C16" s="158"/>
      <c r="D16" s="158"/>
    </row>
    <row r="17" spans="2:2" ht="12.75" x14ac:dyDescent="0.25">
      <c r="B17" s="172" t="str" cm="1">
        <f t="array" ref="B17">IF(NoErrors, "", "There are unresolved errors on the Activities sheet.")</f>
        <v>There are unresolved errors on the Activities sheet.</v>
      </c>
    </row>
    <row r="19" spans="2:2" x14ac:dyDescent="0.25">
      <c r="B19" s="184" t="str" cm="1">
        <f t="array" ref="B19">_xlfn.LET(
_xlpm.M, 1/10^IF($C$11="Millions", 6, IF($C$11="Billions", 9)),
_xlpm.M_txt, IF($C$11="Millions", " ($ millions)", IF($C$11="Billions", " ($ billions)", "")),
_xlpm.L, $C$14="Columns",
_xlpm.Sep, ", ",
_xlpm.B, _xlfn.VSTACK("", ""),
_xlpm.T_3, Time+3,
_xlpm.TT, {"Total","Total"},
_xlpm.id, "IN, Discounted"&amp;_xlpm.M_txt,
_xlpm.iu, "IN, Undiscounted"&amp;_xlpm.M_txt,
_xlpm.od, "OUT, Discounted"&amp;_xlpm.M_txt,
_xlpm.ou, "OUT, Undiscounted"&amp;_xlpm.M_txt,
_xlpm.nd, "NET, Discounted"&amp;_xlpm.M_txt,
_xlpm.nu, "NET, Undiscounted"&amp;_xlpm.M_txt,
_xlpm.FO_Impact,_xlfn.ANCHORARRAY( 'Full Output'!$AP$2),
_xlpm.hd, _xlfn.HSTACK("Stakeholder Group", "Activity", YrsHdr_D),
_xlpm.hu, _xlfn.HSTACK("Stakeholder Group", "Activity", YrsHdr_U),
_xlpm.s, IF($C$13="Default", 1, IF($C$13="Total Impact (↑)", 2, IF($C$13="Total Impact (↓)", 3, IF($C$13="Stakeholder Group (↑az)", 4, IF($C$13="Stakeholder Group (↓za)", 5, IF($C$13="Activity (↑az)", 6, IF($C$13="Activity (↓za)", 7))))))),
_xlpm.d, --($C$9="Text"),
_xlpm.NUMTXT, _xlfn.LAMBDA(_xlpm.x,_xlpm.y,_xlpm.z, IF(_xlpm.z=1, DOLLAR(_xlpm.x, _xlpm.y), _xlpm.x)),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$C$10, _xlpm.d)),
     _xlpm.t, _xlfn.DROP(_xlfn.VSTACK(_xlpm.id, _xlpm.hd, _xlpm.g, _xlfn.HSTACK(_xlpm.TT, _xlpm.NUMTXT(_xlfn.BYCOL(_xlpm.z, _xlfn.LAMBDA(_xlpm.b, SUM(_xlpm.b)))*_xlpm.M, $C$10, _xlpm.d)), ""), IF(_xlpm.L, 0, 1)),
     IF(_xlpm.L, _xlpm.t, _xlfn.VSTACK(_xlpm.id, _xlfn.HSTACK("Year", TRANSPOSE(INDEX(_xlpm.f,, 1)&amp; _xlpm.Sep &amp;INDEX(_xlpm.f,, 2)), "Total"), _xlfn.DROP(TRANSPOSE(_xlpm.t), 2), ""))),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$C$10, _xlpm.d)),
     _xlpm.t, _xlfn.DROP(_xlfn.VSTACK(_xlpm.iu, _xlpm.hu, _xlpm.g, _xlfn.HSTACK(_xlpm.TT, _xlpm.NUMTXT(_xlfn.BYCOL(_xlpm.z, _xlfn.LAMBDA(_xlpm.b, SUM(_xlpm.b)))*_xlpm.M, $C$10, _xlpm.d)), ""), IF(_xlpm.L, 0, 1)),
     IF(_xlpm.L, _xlpm.t, _xlfn.VSTACK(_xlpm.iu, _xlfn.HSTACK("Year", TRANSPOSE(INDEX(_xlpm.f,, 1)&amp; _xlpm.Sep &amp;INDEX(_xlpm.f,, 2)), "Total"), _xlfn.DROP(TRANSPOSE(_xlpm.t), 2), ""))),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$C$10, _xlpm.d)),
     _xlpm.t, _xlfn.DROP(_xlfn.VSTACK(_xlpm.od, _xlpm.hd, _xlpm.g, _xlfn.HSTACK(_xlpm.TT, _xlpm.NUMTXT(_xlfn.BYCOL(_xlpm.z, _xlfn.LAMBDA(_xlpm.b, SUM(_xlpm.b)))*_xlpm.M, $C$10, _xlpm.d)), ""), IF(_xlpm.L, 0, 1)),
     IF(_xlpm.L, _xlpm.t,_xlfn.VSTACK(_xlpm.od, _xlfn.HSTACK("Year", TRANSPOSE(INDEX(_xlpm.f,, 1)&amp; _xlpm.Sep &amp;INDEX(_xlpm.f,, 2)), "Total"), _xlfn.DROP(TRANSPOSE(_xlpm.t), 2), ""))),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$C$10, _xlpm.d)),
     _xlpm.t, _xlfn.DROP(_xlfn.VSTACK(_xlpm.ou, _xlpm.hu, _xlpm.g, _xlfn.HSTACK(_xlpm.TT, _xlpm.NUMTXT(_xlfn.BYCOL(_xlpm.z, _xlfn.LAMBDA(_xlpm.b, SUM(_xlpm.b)))*_xlpm.M, $C$10, _xlpm.d)), ""), IF(_xlpm.L, 0, 1)),
     IF(_xlpm.L, _xlpm.t, _xlfn.VSTACK(_xlpm.ou, _xlfn.HSTACK("Year", TRANSPOSE(INDEX(_xlpm.f,, 1)&amp; _xlpm.Sep &amp;INDEX(_xlpm.f,, 2)), "Total"), _xlfn.DROP(TRANSPOSE(_xlpm.t), 2), ""))),
_xlpm.NET_D,
     _xlfn.LET(_xlpm.x, _xlfn.MAKEARRAY(ROWS(NET_AS), Time, _xlfn.LAMBDA(_xlpm.r,_xlpm.c,
     SUMIFS(INDEX(_xlpm.FO_Impact,, NGroups+MATCH(INDEX(NET_AS, _xlpm.r, 1), Groups, 0)), FO_Act, INDEX(NET_AS, _xlpm.r, 2), FO_Yrs, INDEX(Yrs, _xlpm.c,)))),
     _xlpm.y, _xlfn.BYROW(_xlpm.x, _xlfn.LAMBDA(_xlpm.a, SUM(_xlpm.a))),
     _xlpm.z, -_xlfn.HSTACK(_xlpm.x, _xlpm.y, _xlpm.y*AF),
     _xlpm.e, _xlfn.HSTACK(NET_AS, _xlpm.z),
     _xlpm.f, IF(_xlpm.s=1, _xlpm.e, _xlfn._xlws.SORT(_xlpm.e, IF(_xlpm.s&lt;4, _xlpm.T_3, IF(_xlpm.s&lt;6, 1, 2)), IF(ISEVEN(_xlpm.s), 1, -1))),
     _xlpm.g, _xlfn.HSTACK(_xlfn.TAKE(_xlpm.f,, 2), _xlpm.NUMTXT(_xlfn.DROP(_xlpm.f,, 2)*_xlpm.M, $C$10, _xlpm.d)),
     _xlpm.t, _xlfn.DROP(_xlfn.VSTACK(_xlpm.nd, _xlpm.hd, _xlpm.g, _xlfn.HSTACK(_xlpm.TT, _xlpm.NUMTXT(_xlfn.BYCOL(_xlpm.z, _xlfn.LAMBDA(_xlpm.b, SUM(_xlpm.b)))*_xlpm.M, $C$10, _xlpm.d)), ""), IF(_xlpm.L, 0, 1)),
     IF(_xlpm.L, _xlpm.t, _xlfn.VSTACK(_xlpm.nd, _xlfn.HSTACK("Year", TRANSPOSE(INDEX(_xlpm.f,, 1)&amp; _xlpm.Sep &amp;INDEX(_xlpm.f,, 2)), "Total"), _xlfn.DROP(TRANSPOSE(_xlpm.t), 2), ""))),
_xlpm.NET_U,
     _xlfn.LET(_xlpm.x, _xlfn.MAKEARRAY(ROWS(NET_AS), Time, _xlfn.LAMBDA(_xlpm.r,_xlpm.c,
     SUMIFS(INDEX(_xlpm.FO_Impact,, MATCH(INDEX(NET_AS, _xlpm.r, 1), Groups, 0)), FO_Act, INDEX(NET_AS, _xlpm.r, 2), FO_Yrs, INDEX(Yrs, _xlpm.c,)))),
     _xlpm.y, _xlfn.BYROW(_xlpm.x, _xlfn.LAMBDA(_xlpm.a, SUM(_xlpm.a))),
     _xlpm.z, -_xlfn.HSTACK(_xlpm.x, _xlpm.y),
     _xlpm.e, _xlfn.HSTACK(NET_AS, _xlpm.z),
     _xlpm.f, IF(_xlpm.s=1, _xlpm.e, _xlfn._xlws.SORT(_xlpm.e, IF(_xlpm.s&lt;4, _xlpm.T_3, IF(_xlpm.s&lt;6, 1, 2)), IF(ISEVEN(_xlpm.s), 1, -1))),
     _xlpm.g, _xlfn.HSTACK(_xlfn.TAKE(_xlpm.f,, 2), _xlpm.NUMTXT(_xlfn.DROP(_xlpm.f,, 2)*_xlpm.M, $C$10, _xlpm.d)),
     _xlpm.t, _xlfn.DROP(_xlfn.VSTACK(_xlpm.nu, _xlpm.hu, _xlpm.g, _xlfn.HSTACK(_xlpm.TT, _xlpm.NUMTXT(_xlfn.BYCOL(_xlpm.z, _xlfn.LAMBDA(_xlpm.b, SUM(_xlpm.b)))*_xlpm.M, $C$10, _xlpm.d)), ""), IF(_xlpm.L, 0, 1)),
     IF(_xlpm.L, _xlpm.t, _xlfn.VSTACK(_xlpm.nu, _xlfn.HSTACK("Year", TRANSPOSE(INDEX(_xlpm.f,, 1)&amp; _xlpm.Sep &amp;INDEX(_xlpm.f,, 2)), "Total"), _xlfn.DROP(TRANSPOSE(_xlpm.t), 2), ""))),
_xlpm.o_1, IF(NoIn, _xlpm.OUT_D, _xlpm.IN_D),_xlpm.o_2, IF(NoIn, _xlpm.OUT_U, _xlpm.IN_U),_xlpm.o_3, IF(OneType, _xlpm.NET_D, _xlpm.OUT_D),_xlpm.o_4, IF(OneType, _xlpm.NET_U, _xlpm.OUT_U),_xlpm.o_5, IF(OneType, "", _xlpm.NET_D),_xlpm.o_6, IF(OneType, "", _xlpm.NET_U),
_xlpm.g, IFERROR(IF($C$12="Discounting", _xlfn.VSTACK(_xlpm.o_1, _xlpm.o_3, _xlpm.o_5, _xlfn.DROP(_xlpm.B, IF(OneType, 1, 0)), _xlpm.o_2, _xlpm.o_4, _xlpm.o_6), _xlfn.VSTACK(_xlpm.o_1, _xlpm.o_2, _xlpm.B, _xlpm.o_3, _xlpm.o_4, _xlpm.B, _xlpm.o_5, _xlpm.o_6)), ""),_xlpm.g)</f>
        <v/>
      </c>
    </row>
  </sheetData>
  <mergeCells count="2">
    <mergeCell ref="D6:D8"/>
    <mergeCell ref="D9:D14"/>
  </mergeCells>
  <conditionalFormatting sqref="B19:CZ502">
    <cfRule type="containsText" dxfId="16" priority="3" operator="containsText" text="Discounted">
      <formula>NOT(ISERROR(SEARCH("Discounted",B19)))</formula>
    </cfRule>
    <cfRule type="notContainsBlanks" dxfId="15" priority="4">
      <formula>LEN(TRIM(B19))&gt;0</formula>
    </cfRule>
    <cfRule type="expression" dxfId="14" priority="5">
      <formula>$B19="Stakeholder Group"</formula>
    </cfRule>
    <cfRule type="expression" dxfId="13" priority="6">
      <formula>$B19="Total"</formula>
    </cfRule>
    <cfRule type="expression" dxfId="12" priority="7">
      <formula>$B19="Year"</formula>
    </cfRule>
    <cfRule type="expression" dxfId="11" priority="8">
      <formula>$B19="Annualized"</formula>
    </cfRule>
  </conditionalFormatting>
  <conditionalFormatting sqref="B17">
    <cfRule type="notContainsBlanks" dxfId="10" priority="1">
      <formula>LEN(TRIM(B17))&gt;0</formula>
    </cfRule>
  </conditionalFormatting>
  <dataValidations count="7">
    <dataValidation type="list" allowBlank="1" showInputMessage="1" showErrorMessage="1" prompt="Default lists activities by the way in which they appear on the Activities sheet, and then stakeholder groups by the way in which they appear on the Stakeholder Profile sheet." sqref="C13" xr:uid="{4ED26429-0C95-4E94-B58C-DF044FF4967D}">
      <formula1>"Default, Total Impact (↑), Total Impact (↓), Stakeholder Group (↑az), Stakeholder Group (↓za), Activity (↑az), Activity (↓za)"</formula1>
    </dataValidation>
    <dataValidation type="list" allowBlank="1" showInputMessage="1" showErrorMessage="1" sqref="C10" xr:uid="{76DFFEE3-6507-4B6A-A207-F1528803CF22}">
      <formula1>"0, 1, 2, 3, 4"</formula1>
    </dataValidation>
    <dataValidation type="list" allowBlank="1" showInputMessage="1" showErrorMessage="1" sqref="C11" xr:uid="{4856B213-DF32-4220-B0D3-366C0C754254}">
      <formula1>"Single, Millions, Billions"</formula1>
    </dataValidation>
    <dataValidation type="list" allowBlank="1" showInputMessage="1" showErrorMessage="1" sqref="C12" xr:uid="{D41DFEB2-D5F0-4064-9781-13AC5F2C77F6}">
      <formula1>"Discounting, IN | OUT | NET"</formula1>
    </dataValidation>
    <dataValidation type="list" allowBlank="1" showInputMessage="1" showErrorMessage="1" sqref="C14" xr:uid="{B9E9C70C-DDF4-4E55-8FCD-17B0259DF86B}">
      <formula1>"Columns, Rows"</formula1>
    </dataValidation>
    <dataValidation type="list" allowBlank="1" showInputMessage="1" showErrorMessage="1" prompt="Text: for copy-pasting into Word. _x000a__x000a_Numbers: for additional manipulations in Excel." sqref="C9:C10" xr:uid="{95E8AEAF-8594-416A-B6D2-A019645EDDFA}">
      <formula1>"Text, Numbers"</formula1>
    </dataValidation>
    <dataValidation type="list" allowBlank="1" showInputMessage="1" showErrorMessage="1" sqref="C9:C10" xr:uid="{E3BBA411-D216-486B-8A60-1FF62292A801}">
      <formula1>"Text, Number"</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2:U21"/>
  <sheetViews>
    <sheetView showGridLines="0" zoomScaleNormal="100" workbookViewId="0">
      <selection activeCell="B21" sqref="B21"/>
    </sheetView>
  </sheetViews>
  <sheetFormatPr defaultColWidth="9.140625" defaultRowHeight="12" x14ac:dyDescent="0.25"/>
  <cols>
    <col min="1" max="1" width="9.140625" style="156"/>
    <col min="2" max="2" width="46" style="155" customWidth="1"/>
    <col min="3" max="3" width="33.5703125" style="156" customWidth="1"/>
    <col min="4" max="4" width="20" style="156" customWidth="1"/>
    <col min="5" max="5" width="16.42578125" style="156" customWidth="1"/>
    <col min="6" max="6" width="18.28515625" style="156" customWidth="1"/>
    <col min="7" max="7" width="16" style="156" customWidth="1"/>
    <col min="8" max="8" width="14.140625" style="156" customWidth="1"/>
    <col min="9" max="9" width="14.85546875" style="156" customWidth="1"/>
    <col min="10" max="15" width="14.140625" style="156" customWidth="1"/>
    <col min="16" max="20" width="9.140625" style="156"/>
    <col min="21" max="21" width="13.85546875" style="156" bestFit="1" customWidth="1"/>
    <col min="22" max="16384" width="9.140625" style="156"/>
  </cols>
  <sheetData>
    <row r="2" spans="2:21" ht="15.75" x14ac:dyDescent="0.25">
      <c r="B2" s="181" t="s">
        <v>352</v>
      </c>
      <c r="C2" s="186"/>
      <c r="D2" s="186"/>
    </row>
    <row r="3" spans="2:21" ht="12.75" x14ac:dyDescent="0.25">
      <c r="B3" s="187"/>
      <c r="C3" s="186"/>
      <c r="D3" s="186"/>
    </row>
    <row r="4" spans="2:21" ht="12.75" x14ac:dyDescent="0.25">
      <c r="B4" s="187"/>
      <c r="C4" s="186"/>
      <c r="D4" s="186"/>
    </row>
    <row r="5" spans="2:21" ht="12.75" x14ac:dyDescent="0.25">
      <c r="B5" s="188" t="s">
        <v>312</v>
      </c>
      <c r="C5" s="189" t="s">
        <v>132</v>
      </c>
      <c r="D5" s="243" t="s">
        <v>316</v>
      </c>
    </row>
    <row r="6" spans="2:21" ht="15" customHeight="1" x14ac:dyDescent="0.25">
      <c r="B6" s="190" t="s">
        <v>317</v>
      </c>
      <c r="C6" s="191" t="str">
        <f>Time&amp;" ("&amp;YearOfRegistration&amp;" to "&amp;YearOfRegistration+Time-1&amp;")"</f>
        <v>10 (2025 to 2034)</v>
      </c>
      <c r="D6" s="274" t="s">
        <v>313</v>
      </c>
    </row>
    <row r="7" spans="2:21" ht="12.75" x14ac:dyDescent="0.25">
      <c r="B7" s="192" t="s">
        <v>50</v>
      </c>
      <c r="C7" s="193">
        <f>PriceYear</f>
        <v>2023</v>
      </c>
      <c r="D7" s="275"/>
    </row>
    <row r="8" spans="2:21" ht="12.75" x14ac:dyDescent="0.25">
      <c r="B8" s="192" t="s">
        <v>77</v>
      </c>
      <c r="C8" s="193">
        <f>PVBaseYear</f>
        <v>2025</v>
      </c>
      <c r="D8" s="275"/>
    </row>
    <row r="9" spans="2:21" ht="12.75" x14ac:dyDescent="0.25">
      <c r="B9" s="194" t="s">
        <v>51</v>
      </c>
      <c r="C9" s="195">
        <f>Discount</f>
        <v>7.0000000000000007E-2</v>
      </c>
      <c r="D9" s="276"/>
    </row>
    <row r="10" spans="2:21" ht="15" customHeight="1" x14ac:dyDescent="0.25">
      <c r="B10" s="170" t="s">
        <v>325</v>
      </c>
      <c r="C10" s="171" t="s">
        <v>324</v>
      </c>
      <c r="D10" s="277" t="s">
        <v>314</v>
      </c>
    </row>
    <row r="11" spans="2:21" ht="12.75" x14ac:dyDescent="0.25">
      <c r="B11" s="196" t="s">
        <v>326</v>
      </c>
      <c r="C11" s="197">
        <v>0</v>
      </c>
      <c r="D11" s="278"/>
      <c r="E11" s="184"/>
    </row>
    <row r="12" spans="2:21" ht="12.75" x14ac:dyDescent="0.25">
      <c r="B12" s="196" t="s">
        <v>72</v>
      </c>
      <c r="C12" s="197" t="s">
        <v>73</v>
      </c>
      <c r="D12" s="278"/>
    </row>
    <row r="13" spans="2:21" ht="12.75" x14ac:dyDescent="0.25">
      <c r="B13" s="196" t="s">
        <v>304</v>
      </c>
      <c r="C13" s="197" t="s">
        <v>308</v>
      </c>
      <c r="D13" s="279"/>
      <c r="U13" s="198"/>
    </row>
    <row r="14" spans="2:21" ht="12.75" x14ac:dyDescent="0.25">
      <c r="B14" s="199" t="s">
        <v>318</v>
      </c>
      <c r="C14" s="200">
        <v>2029</v>
      </c>
      <c r="D14" s="271" t="s">
        <v>315</v>
      </c>
    </row>
    <row r="15" spans="2:21" ht="12.75" x14ac:dyDescent="0.25">
      <c r="B15" s="201" t="s">
        <v>319</v>
      </c>
      <c r="C15" s="202"/>
      <c r="D15" s="272"/>
    </row>
    <row r="16" spans="2:21" ht="12.75" x14ac:dyDescent="0.25">
      <c r="B16" s="203" t="s">
        <v>320</v>
      </c>
      <c r="C16" s="204"/>
      <c r="D16" s="273"/>
    </row>
    <row r="17" spans="2:4" ht="12.75" x14ac:dyDescent="0.25">
      <c r="B17" s="205"/>
      <c r="C17" s="186"/>
      <c r="D17" s="186"/>
    </row>
    <row r="18" spans="2:4" ht="12.75" x14ac:dyDescent="0.25">
      <c r="B18" s="175" t="s">
        <v>246</v>
      </c>
      <c r="C18" s="186"/>
      <c r="D18" s="186"/>
    </row>
    <row r="19" spans="2:4" ht="12.75" x14ac:dyDescent="0.25">
      <c r="B19" s="172" t="str" cm="1">
        <f t="array" ref="B19">IF(NoErrors, "", "There are unresolved errors on the Activities sheet.")</f>
        <v>There are unresolved errors on the Activities sheet.</v>
      </c>
    </row>
    <row r="21" spans="2:4" x14ac:dyDescent="0.25">
      <c r="B21" s="155" t="str" cm="1">
        <f t="array" ref="B21">_xlfn.LET(
_xlpm.M, 1/10^IF($C$12="Millions", 6, IF($C$12="Billions", 9)),
_xlpm.M_txt, IF($C$12="Millions", " ($ millions)", IF($C$12="Billions", " ($ billions)", "")),
_xlpm.FO_Impact,_xlfn.ANCHORARRAY( 'Full Output'!$AP$2),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IF($C$13="Default", 1, IF($C$13="Total Impact (↑)", 2, IF($C$13="Total Impact (↓)", 3, IF($C$13="Stakeholder Group (↑az)", 4, IF($C$13="Stakeholder Group (↓za)", 5, IF($C$13="Activity (↑az)", 6, IF($C$13="Activity (↓za)", 7))))))),
_xlpm.T_3, Time+3,
_xlpm.v, COUNTBLANK($C$14:$C$16),
_xlpm.d, --($C$10="Text"),
_xlpm.NUMTXT, _xlfn.LAMBDA(_xlpm.Value,_xlpm.Decimals,_xlpm.Text, IF(_xlpm.Text=1, DOLLAR(_xlpm.Value, _xlpm.Decimals), _xlpm.Value)),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$C$11, _xlpm.d)),
     _xlpm.t, _xlfn.VSTACK(_xlpm.hc, _xlpm.g, _xlfn.HSTACK("All Stakeholders", "Total costs", _xlpm.NUMTXT(_xlfn.BYCOL(_xlpm.z, _xlfn.LAMBDA(_xlpm.b, SUM(_xlpm.b)))*_xlpm.M, $C$11, _xlpm.d))),
     _xlpm.t),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$C$11, _xlpm.d)),
     _xlpm.t, _xlfn.VSTACK(_xlpm.hb, _xlpm.g, _xlfn.HSTACK("All Stakeholders", "Total benefits", _xlpm.NUMTXT(_xlfn.BYCOL(_xlpm.z, _xlfn.LAMBDA(_xlpm.b, SUM(_xlpm.b)))*_xlpm.M, $C$11, _xlpm.d))),
     _xlpm.t),
_xlpm.NET_D,
     _xlfn.LET(_xlpm.x, _xlfn.MAKEARRAY(3, Time, _xlfn.LAMBDA(_xlpm.r,_xlpm.c,
     IF(_xlpm.r=1, -SUMIFS(FO_ImpactD, FO_InOut, "Out", FO_Yrs, INDEX(Yrs, _xlpm.c,)), IF(_xlpm.r=2, SUMIFS(FO_ImpactD, FO_InOut, "In", FO_Yrs, INDEX(Yrs, _xlpm.c,)), -SUMIFS(FO_ImpactD, FO_Yrs, INDEX(Yrs, _xlpm.c,)))))),
     _xlpm.y, _xlfn.BYROW(_xlpm.x, _xlfn.LAMBDA(_xlpm.a, SUM(_xlpm.a))),
     _xlpm.z, _xlpm.NUMTXT(_xlfn.HSTACK(_xlpm.x, _xlpm.y, _xlpm.y*AF)*_xlpm.M, $C$11, _xlpm.d),
     _xlpm.t, _xlfn.VSTACK(_xlfn.HSTACK("Impact", _xlfn.HSTACK(_xlfn.SEQUENCE(, Time, YearOfRegistration), "Total (present value)", "Annualized")), _xlfn.HSTACK(_xlfn.VSTACK("Total benefits", "Total costs", "Net impact"), _xlpm.z)),
     _xlpm.t),
_xlpm.NET_U,
     _xlfn.LET(_xlpm.x, _xlfn.MAKEARRAY(3, Time, _xlfn.LAMBDA(_xlpm.r,_xlpm.c,
     IF(_xlpm.r=1, -SUMIFS(FO_ImpactU, FO_InOut, "Out", FO_Yrs, INDEX(Yrs, _xlpm.c,)), IF(_xlpm.r=2, SUMIFS(FO_ImpactU, FO_InOut, "In", FO_Yrs, INDEX(Yrs, _xlpm.c,)), -SUMIFS(FO_ImpactU, FO_Yrs, INDEX(Yrs, _xlpm.c,)))))),
     _xlpm.y, _xlfn.BYROW(_xlpm.x, _xlfn.LAMBDA(_xlpm.a, SUM(_xlpm.a))),
     _xlpm.z, _xlpm.NUMTXT(_xlfn.HSTACK(_xlpm.x, _xlpm.y)*_xlpm.M, $C$11, _xlpm.d),
     _xlpm.t, _xlfn.VSTACK(_xlfn.HSTACK("Impact", YrsHdr_U), _xlfn.HSTACK(_xlfn.VSTACK("Total benefits", "Total costs", "Net impact"), _xlpm.z)),
     _xlpm.t),
_xlpm.MB, _xlfn.VSTACK("Monetized benefits"&amp;_xlpm.M_txt,
     TRANSPOSE(_xlfn.DROP(_xlfn.DROP(_xlfn._xlws.SORT(TRANSPOSE(_xlfn.LET(_xlpm.h, _xlfn.HSTACK(_xlfn.TAKE(_xlpm.OUT_U,, 3), IFERROR(INDEX(_xlpm.OUT_U,, $C$14-YearOfRegistration+3), ""), IFERROR(INDEX(_xlpm.OUT_U,, $C$15-YearOfRegistration+3), ""), IFERROR(INDEX(_xlpm.OUT_U,, $C$16-YearOfRegistration+3), ""), INDEX(_xlpm.OUT_U,, COLUMNS(_xlpm.OUT_U)-1), _xlfn.TAKE(_xlpm.OUT_D,,-2)), _xlfn.VSTACK(IF(INDEX(_xlpm.h, 1)="", 1, 0), _xlpm.h)))), -_xlpm.v),,1))),
_xlpm.MC, _xlfn.VSTACK("Monetized costs"&amp;_xlpm.M_txt,
     TRANSPOSE(_xlfn.DROP(_xlfn.DROP(_xlfn._xlws.SORT(TRANSPOSE(_xlfn.LET(_xlpm.h, _xlfn.HSTACK(_xlfn.TAKE(_xlpm.IN_U,, 3), IFERROR(INDEX(_xlpm.IN_U,, $C$14-YearOfRegistration+3), ""), IFERROR(INDEX(_xlpm.IN_U,, $C$15-YearOfRegistration+3), ""), IFERROR(INDEX(_xlpm.IN_U,, $C$16-YearOfRegistration+3), ""), INDEX(_xlpm.IN_U,, COLUMNS(_xlpm.IN_U)-1), _xlfn.TAKE(_xlpm.IN_D,,-2)), _xlfn.VSTACK(IF(INDEX(_xlpm.h, 1)="", 1, 0), _xlpm.h)))), -_xlpm.v),,1))),
_xlpm.NI, _xlfn.VSTACK("Summary of monetized benefits and costs"&amp;_xlpm.M_txt,
     TRANSPOSE(_xlfn.DROP(_xlfn.DROP(_xlfn._xlws.SORT(TRANSPOSE(_xlfn.LET(_xlpm.h, _xlfn.HSTACK(_xlfn.TAKE(_xlpm.NET_U,, 2), IFERROR(INDEX(_xlpm.NET_U,, $C$14-YearOfRegistration+2), ""), IFERROR(INDEX(_xlpm.NET_U,, $C$15-YearOfRegistration+2), ""), IFERROR(INDEX(_xlpm.NET_U,, $C$16-YearOfRegistration+2), ""), INDEX(_xlpm.NET_U,, COLUMNS(_xlpm.NET_U)-1), _xlfn.TAKE(_xlpm.NET_D,,-2)), _xlfn.VSTACK(IF(INDEX(_xlpm.h, 1)="", 1, 0), _xlpm.h)))), -_xlpm.v),,1))),
_xlpm.j, IFERROR(IF(NoOut, _xlfn.VSTACK(_xlpm.MC, "", "", _xlpm.NI), IF(NoIn, _xlfn.VSTACK(_xlpm.MB, "", "", _xlpm.NI), _xlfn.VSTACK(_xlpm.MB, "", "", _xlpm.MC, "", "", _xlpm.NI))), ""),
_xlpm.j)</f>
        <v/>
      </c>
    </row>
  </sheetData>
  <mergeCells count="3">
    <mergeCell ref="D14:D16"/>
    <mergeCell ref="D6:D9"/>
    <mergeCell ref="D10:D13"/>
  </mergeCells>
  <conditionalFormatting sqref="B21:CZ504">
    <cfRule type="containsText" dxfId="9" priority="3" operator="containsText" text="Monetized">
      <formula>NOT(ISERROR(SEARCH("Monetized",B21)))</formula>
    </cfRule>
    <cfRule type="notContainsBlanks" dxfId="8" priority="4">
      <formula>LEN(TRIM(B21))&gt;0</formula>
    </cfRule>
    <cfRule type="expression" dxfId="7" priority="7">
      <formula>$B21="Impacted Stakeholder"</formula>
    </cfRule>
    <cfRule type="expression" dxfId="6" priority="8">
      <formula>$B21="All Stakeholders"</formula>
    </cfRule>
    <cfRule type="expression" dxfId="5" priority="9">
      <formula>$B21="Net impact"</formula>
    </cfRule>
    <cfRule type="expression" dxfId="4" priority="10">
      <formula>$B21="Impact"</formula>
    </cfRule>
  </conditionalFormatting>
  <conditionalFormatting sqref="B19">
    <cfRule type="notContainsBlanks" dxfId="3" priority="1">
      <formula>LEN(TRIM(B19))&gt;0</formula>
    </cfRule>
  </conditionalFormatting>
  <dataValidations count="5">
    <dataValidation type="list" allowBlank="1" showInputMessage="1" showErrorMessage="1" sqref="C12" xr:uid="{05C1CD0F-A846-4624-BF78-EA0331782802}">
      <formula1>"Single, Millions, Billions"</formula1>
    </dataValidation>
    <dataValidation type="list" allowBlank="1" showInputMessage="1" showErrorMessage="1" sqref="C11" xr:uid="{CC1AB4DC-05C4-4650-B884-09FA0B159621}">
      <formula1>"0, 1, 2, 3, 4"</formula1>
    </dataValidation>
    <dataValidation type="list" allowBlank="1" showInputMessage="1" showErrorMessage="1" prompt="Default lists activities by the way in which they appear on the Activities sheet, and then stakeholder groups by the way in which they appear on the Stakeholder Profile sheet." sqref="C13" xr:uid="{FB64DE11-4293-4049-9C37-C9D6087DCB8F}">
      <formula1>"Default, Total Impact (↑), Total Impact (↓), Stakeholder Group (↑az), Stakeholder Group (↓za), Activity (↑az), Activity (↓za)"</formula1>
    </dataValidation>
    <dataValidation type="list" allowBlank="1" showInputMessage="1" showErrorMessage="1" prompt="Text: for copy-pasting into Word. _x000a__x000a_Numbers: for additional manipulations in Excel." sqref="C10:C11" xr:uid="{7444392B-0B3A-4F37-A6A0-9A2FBB5A2606}">
      <formula1>"Text, Numbers"</formula1>
    </dataValidation>
    <dataValidation type="list" allowBlank="1" showInputMessage="1" showErrorMessage="1" prompt="Text: facilitates copy-pasting into Word. _x000a__x000a_Number: enables additional manipulations in Excel." sqref="C10:C11" xr:uid="{F68E8D49-B59C-4339-B311-E908E25F7F32}">
      <formula1>"Text, Number"</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B3FCD026-D624-4494-85BA-A5F0C9E554EF}">
          <x14:formula1>
            <xm:f>_xlfn.ANCHORARRAY(Controls!$K$2)</xm:f>
          </x14:formula1>
          <xm:sqref>C14</xm:sqref>
        </x14:dataValidation>
        <x14:dataValidation type="list" allowBlank="1" showInputMessage="1" showErrorMessage="1" xr:uid="{C5F8C651-61F0-40E0-A046-F7C5ABC5161E}">
          <x14:formula1>
            <xm:f>_xlfn.ANCHORARRAY(Controls!$L$2)</xm:f>
          </x14:formula1>
          <xm:sqref>C15</xm:sqref>
        </x14:dataValidation>
        <x14:dataValidation type="list" allowBlank="1" showInputMessage="1" showErrorMessage="1" xr:uid="{4B8E8857-6393-4C42-9F42-3EFBAF7F01AD}">
          <x14:formula1>
            <xm:f>_xlfn.ANCHORARRAY(Controls!$M$2)</xm:f>
          </x14:formula1>
          <xm:sqref>C16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J73"/>
  <sheetViews>
    <sheetView showGridLines="0" zoomScale="115" zoomScaleNormal="115" workbookViewId="0">
      <pane ySplit="14" topLeftCell="A54" activePane="bottomLeft" state="frozen"/>
      <selection activeCell="R28" sqref="R28"/>
      <selection pane="bottomLeft" activeCell="D66" sqref="D66"/>
    </sheetView>
  </sheetViews>
  <sheetFormatPr defaultColWidth="9.140625" defaultRowHeight="12" x14ac:dyDescent="0.2"/>
  <cols>
    <col min="1" max="1" width="2.85546875" style="15" customWidth="1"/>
    <col min="2" max="2" width="12.5703125" style="124" customWidth="1"/>
    <col min="3" max="3" width="9.42578125" style="15" customWidth="1"/>
    <col min="4" max="4" width="82.85546875" style="15" customWidth="1"/>
    <col min="5" max="5" width="26.85546875" style="15" customWidth="1"/>
    <col min="6" max="6" width="27.42578125" style="15" customWidth="1"/>
    <col min="7" max="7" width="27.140625" style="15" customWidth="1"/>
    <col min="8" max="8" width="11.7109375" style="15" customWidth="1"/>
    <col min="9" max="16384" width="9.140625" style="15"/>
  </cols>
  <sheetData>
    <row r="2" spans="2:7" ht="15" x14ac:dyDescent="0.25">
      <c r="B2" s="123"/>
      <c r="C2" s="116" t="s">
        <v>78</v>
      </c>
    </row>
    <row r="3" spans="2:7" x14ac:dyDescent="0.2">
      <c r="B3" s="123"/>
      <c r="C3" s="60"/>
    </row>
    <row r="4" spans="2:7" x14ac:dyDescent="0.2">
      <c r="C4" s="61"/>
      <c r="D4" s="62"/>
    </row>
    <row r="5" spans="2:7" x14ac:dyDescent="0.2">
      <c r="D5" s="62"/>
    </row>
    <row r="6" spans="2:7" x14ac:dyDescent="0.2">
      <c r="C6" s="62"/>
      <c r="D6" s="62"/>
    </row>
    <row r="7" spans="2:7" x14ac:dyDescent="0.2">
      <c r="C7" s="62"/>
      <c r="D7" s="62"/>
    </row>
    <row r="8" spans="2:7" x14ac:dyDescent="0.2">
      <c r="C8" s="62"/>
      <c r="D8" s="62"/>
    </row>
    <row r="9" spans="2:7" x14ac:dyDescent="0.2">
      <c r="C9" s="61"/>
    </row>
    <row r="10" spans="2:7" x14ac:dyDescent="0.2">
      <c r="C10" s="61"/>
    </row>
    <row r="11" spans="2:7" x14ac:dyDescent="0.2">
      <c r="C11" s="61"/>
    </row>
    <row r="12" spans="2:7" x14ac:dyDescent="0.2">
      <c r="C12" s="61"/>
    </row>
    <row r="13" spans="2:7" x14ac:dyDescent="0.2">
      <c r="C13" s="62"/>
    </row>
    <row r="14" spans="2:7" ht="24" x14ac:dyDescent="0.2">
      <c r="B14" s="124"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135" t="s">
        <v>248</v>
      </c>
      <c r="D14" s="56" t="s">
        <v>79</v>
      </c>
      <c r="E14" s="57" t="s">
        <v>80</v>
      </c>
      <c r="F14" s="57" t="s">
        <v>81</v>
      </c>
      <c r="G14" s="86" t="s">
        <v>82</v>
      </c>
    </row>
    <row r="15" spans="2:7" x14ac:dyDescent="0.2">
      <c r="B15" s="124" t="str">
        <v/>
      </c>
      <c r="C15" s="136" t="str">
        <f>TEXT(ROW(C15)-ROW(tbl_Wages[[#Headers],[Number]]), "00")</f>
        <v>01</v>
      </c>
      <c r="D15" s="137" t="s">
        <v>249</v>
      </c>
      <c r="E15" s="89">
        <v>2021</v>
      </c>
      <c r="F15" s="87">
        <v>30.03</v>
      </c>
      <c r="G15" s="87">
        <f>IFERROR(tbl_Wages[[#This Row],[Wage in price year of data source (without overhead)]]*INDEX(tbl_CPI[Index], MATCH(PriceYear, tbl_CPI[Year], 0))/INDEX(tbl_CPI[Index], MATCH(tbl_Wages[[#This Row],[Price year of data source]], tbl_CPI[Year], 0)), "")</f>
        <v>33.317182203389827</v>
      </c>
    </row>
    <row r="16" spans="2:7" x14ac:dyDescent="0.2">
      <c r="B16" s="124" t="str">
        <v/>
      </c>
      <c r="C16" s="136" t="str">
        <f>TEXT(ROW(C16)-ROW(tbl_Wages[[#Headers],[Number]]), "00")</f>
        <v>02</v>
      </c>
      <c r="D16" s="137" t="s">
        <v>250</v>
      </c>
      <c r="E16" s="89">
        <v>2021</v>
      </c>
      <c r="F16" s="87">
        <v>49</v>
      </c>
      <c r="G16" s="87">
        <f>IFERROR(tbl_Wages[[#This Row],[Wage in price year of data source (without overhead)]]*INDEX(tbl_CPI[Index], MATCH(PriceYear, tbl_CPI[Year], 0))/INDEX(tbl_CPI[Index], MATCH(tbl_Wages[[#This Row],[Price year of data source]], tbl_CPI[Year], 0)), "")</f>
        <v>54.363700564971751</v>
      </c>
    </row>
    <row r="17" spans="2:7" x14ac:dyDescent="0.2">
      <c r="B17" s="124" t="str">
        <v/>
      </c>
      <c r="C17" s="136" t="str">
        <f>TEXT(ROW(C17)-ROW(tbl_Wages[[#Headers],[Number]]), "00")</f>
        <v>03</v>
      </c>
      <c r="D17" s="137" t="s">
        <v>251</v>
      </c>
      <c r="E17" s="89">
        <v>2021</v>
      </c>
      <c r="F17" s="87">
        <v>57.52</v>
      </c>
      <c r="G17" s="87">
        <f>IFERROR(tbl_Wages[[#This Row],[Wage in price year of data source (without overhead)]]*INDEX(tbl_CPI[Index], MATCH(PriceYear, tbl_CPI[Year], 0))/INDEX(tbl_CPI[Index], MATCH(tbl_Wages[[#This Row],[Price year of data source]], tbl_CPI[Year], 0)), "")</f>
        <v>63.816327683615818</v>
      </c>
    </row>
    <row r="18" spans="2:7" x14ac:dyDescent="0.2">
      <c r="B18" s="124" t="str">
        <v/>
      </c>
      <c r="C18" s="136" t="str">
        <f>TEXT(ROW(C18)-ROW(tbl_Wages[[#Headers],[Number]]), "00")</f>
        <v>04</v>
      </c>
      <c r="D18" s="137" t="s">
        <v>252</v>
      </c>
      <c r="E18" s="89">
        <v>2021</v>
      </c>
      <c r="F18" s="87">
        <v>52.98</v>
      </c>
      <c r="G18" s="87">
        <f>IFERROR(tbl_Wages[[#This Row],[Wage in price year of data source (without overhead)]]*INDEX(tbl_CPI[Index], MATCH(PriceYear, tbl_CPI[Year], 0))/INDEX(tbl_CPI[Index], MATCH(tbl_Wages[[#This Row],[Price year of data source]], tbl_CPI[Year], 0)), "")</f>
        <v>58.779364406779656</v>
      </c>
    </row>
    <row r="19" spans="2:7" x14ac:dyDescent="0.2">
      <c r="B19" s="124" t="str">
        <v/>
      </c>
      <c r="C19" s="136" t="str">
        <f>TEXT(ROW(C19)-ROW(tbl_Wages[[#Headers],[Number]]), "00")</f>
        <v>05</v>
      </c>
      <c r="D19" s="137" t="s">
        <v>253</v>
      </c>
      <c r="E19" s="89">
        <v>2021</v>
      </c>
      <c r="F19" s="87">
        <v>39.28</v>
      </c>
      <c r="G19" s="87">
        <f>IFERROR(tbl_Wages[[#This Row],[Wage in price year of data source (without overhead)]]*INDEX(tbl_CPI[Index], MATCH(PriceYear, tbl_CPI[Year], 0))/INDEX(tbl_CPI[Index], MATCH(tbl_Wages[[#This Row],[Price year of data source]], tbl_CPI[Year], 0)), "")</f>
        <v>43.579717514124297</v>
      </c>
    </row>
    <row r="20" spans="2:7" x14ac:dyDescent="0.2">
      <c r="B20" s="124" t="str">
        <v/>
      </c>
      <c r="C20" s="136" t="str">
        <f>TEXT(ROW(C20)-ROW(tbl_Wages[[#Headers],[Number]]), "00")</f>
        <v>06</v>
      </c>
      <c r="D20" s="137" t="s">
        <v>254</v>
      </c>
      <c r="E20" s="89">
        <v>2021</v>
      </c>
      <c r="F20" s="87">
        <v>46.16</v>
      </c>
      <c r="G20" s="87">
        <f>IFERROR(tbl_Wages[[#This Row],[Wage in price year of data source (without overhead)]]*INDEX(tbl_CPI[Index], MATCH(PriceYear, tbl_CPI[Year], 0))/INDEX(tbl_CPI[Index], MATCH(tbl_Wages[[#This Row],[Price year of data source]], tbl_CPI[Year], 0)), "")</f>
        <v>51.21282485875706</v>
      </c>
    </row>
    <row r="21" spans="2:7" x14ac:dyDescent="0.2">
      <c r="B21" s="124" t="str">
        <v/>
      </c>
      <c r="C21" s="136" t="str">
        <f>TEXT(ROW(C21)-ROW(tbl_Wages[[#Headers],[Number]]), "00")</f>
        <v>07</v>
      </c>
      <c r="D21" s="137" t="s">
        <v>255</v>
      </c>
      <c r="E21" s="89">
        <v>2021</v>
      </c>
      <c r="F21" s="87">
        <v>29.87</v>
      </c>
      <c r="G21" s="87">
        <f>IFERROR(tbl_Wages[[#This Row],[Wage in price year of data source (without overhead)]]*INDEX(tbl_CPI[Index], MATCH(PriceYear, tbl_CPI[Year], 0))/INDEX(tbl_CPI[Index], MATCH(tbl_Wages[[#This Row],[Price year of data source]], tbl_CPI[Year], 0)), "")</f>
        <v>33.139668079096047</v>
      </c>
    </row>
    <row r="22" spans="2:7" x14ac:dyDescent="0.2">
      <c r="B22" s="124" t="str">
        <v/>
      </c>
      <c r="C22" s="136" t="str">
        <f>TEXT(ROW(C22)-ROW(tbl_Wages[[#Headers],[Number]]), "00")</f>
        <v>08</v>
      </c>
      <c r="D22" s="137" t="s">
        <v>256</v>
      </c>
      <c r="E22" s="89">
        <v>2021</v>
      </c>
      <c r="F22" s="87">
        <v>39.11</v>
      </c>
      <c r="G22" s="87">
        <f>IFERROR(tbl_Wages[[#This Row],[Wage in price year of data source (without overhead)]]*INDEX(tbl_CPI[Index], MATCH(PriceYear, tbl_CPI[Year], 0))/INDEX(tbl_CPI[Index], MATCH(tbl_Wages[[#This Row],[Price year of data source]], tbl_CPI[Year], 0)), "")</f>
        <v>43.391108757062149</v>
      </c>
    </row>
    <row r="23" spans="2:7" x14ac:dyDescent="0.2">
      <c r="B23" s="124" t="str">
        <v/>
      </c>
      <c r="C23" s="136" t="str">
        <f>TEXT(ROW(C23)-ROW(tbl_Wages[[#Headers],[Number]]), "00")</f>
        <v>09</v>
      </c>
      <c r="D23" s="137" t="s">
        <v>257</v>
      </c>
      <c r="E23" s="89">
        <v>2021</v>
      </c>
      <c r="F23" s="87">
        <v>28.89</v>
      </c>
      <c r="G23" s="87">
        <f>IFERROR(tbl_Wages[[#This Row],[Wage in price year of data source (without overhead)]]*INDEX(tbl_CPI[Index], MATCH(PriceYear, tbl_CPI[Year], 0))/INDEX(tbl_CPI[Index], MATCH(tbl_Wages[[#This Row],[Price year of data source]], tbl_CPI[Year], 0)), "")</f>
        <v>32.052394067796612</v>
      </c>
    </row>
    <row r="24" spans="2:7" x14ac:dyDescent="0.2">
      <c r="B24" s="124" t="str">
        <v/>
      </c>
      <c r="C24" s="136" t="str">
        <f>TEXT(ROW(C24)-ROW(tbl_Wages[[#Headers],[Number]]), "00")</f>
        <v>10</v>
      </c>
      <c r="D24" s="137" t="s">
        <v>258</v>
      </c>
      <c r="E24" s="89">
        <v>2021</v>
      </c>
      <c r="F24" s="87">
        <v>29.32</v>
      </c>
      <c r="G24" s="87">
        <f>IFERROR(tbl_Wages[[#This Row],[Wage in price year of data source (without overhead)]]*INDEX(tbl_CPI[Index], MATCH(PriceYear, tbl_CPI[Year], 0))/INDEX(tbl_CPI[Index], MATCH(tbl_Wages[[#This Row],[Price year of data source]], tbl_CPI[Year], 0)), "")</f>
        <v>32.529463276836154</v>
      </c>
    </row>
    <row r="25" spans="2:7" x14ac:dyDescent="0.2">
      <c r="B25" s="124" t="str">
        <v/>
      </c>
      <c r="C25" s="136" t="str">
        <f>TEXT(ROW(C25)-ROW(tbl_Wages[[#Headers],[Number]]), "00")</f>
        <v>11</v>
      </c>
      <c r="D25" s="137" t="s">
        <v>259</v>
      </c>
      <c r="E25" s="89">
        <v>2021</v>
      </c>
      <c r="F25" s="87">
        <v>23.37</v>
      </c>
      <c r="G25" s="87">
        <f>IFERROR(tbl_Wages[[#This Row],[Wage in price year of data source (without overhead)]]*INDEX(tbl_CPI[Index], MATCH(PriceYear, tbl_CPI[Year], 0))/INDEX(tbl_CPI[Index], MATCH(tbl_Wages[[#This Row],[Price year of data source]], tbl_CPI[Year], 0)), "")</f>
        <v>25.92815677966102</v>
      </c>
    </row>
    <row r="26" spans="2:7" x14ac:dyDescent="0.2">
      <c r="B26" s="124" t="str">
        <v/>
      </c>
      <c r="C26" s="136" t="str">
        <f>TEXT(ROW(C26)-ROW(tbl_Wages[[#Headers],[Number]]), "00")</f>
        <v>12</v>
      </c>
      <c r="D26" s="137" t="s">
        <v>260</v>
      </c>
      <c r="E26" s="89">
        <v>2021</v>
      </c>
      <c r="F26" s="87">
        <v>23.84</v>
      </c>
      <c r="G26" s="87">
        <f>IFERROR(tbl_Wages[[#This Row],[Wage in price year of data source (without overhead)]]*INDEX(tbl_CPI[Index], MATCH(PriceYear, tbl_CPI[Year], 0))/INDEX(tbl_CPI[Index], MATCH(tbl_Wages[[#This Row],[Price year of data source]], tbl_CPI[Year], 0)), "")</f>
        <v>26.44960451977401</v>
      </c>
    </row>
    <row r="27" spans="2:7" x14ac:dyDescent="0.2">
      <c r="B27" s="124" t="str">
        <v/>
      </c>
      <c r="C27" s="136" t="str">
        <f>TEXT(ROW(C27)-ROW(tbl_Wages[[#Headers],[Number]]), "00")</f>
        <v>13</v>
      </c>
      <c r="D27" s="137" t="s">
        <v>261</v>
      </c>
      <c r="E27" s="89">
        <v>2021</v>
      </c>
      <c r="F27" s="87">
        <v>39.99</v>
      </c>
      <c r="G27" s="87">
        <f>IFERROR(tbl_Wages[[#This Row],[Wage in price year of data source (without overhead)]]*INDEX(tbl_CPI[Index], MATCH(PriceYear, tbl_CPI[Year], 0))/INDEX(tbl_CPI[Index], MATCH(tbl_Wages[[#This Row],[Price year of data source]], tbl_CPI[Year], 0)), "")</f>
        <v>44.36743644067797</v>
      </c>
    </row>
    <row r="28" spans="2:7" x14ac:dyDescent="0.2">
      <c r="B28" s="124" t="str">
        <v/>
      </c>
      <c r="C28" s="136" t="str">
        <f>TEXT(ROW(C28)-ROW(tbl_Wages[[#Headers],[Number]]), "00")</f>
        <v>14</v>
      </c>
      <c r="D28" s="137" t="s">
        <v>262</v>
      </c>
      <c r="E28" s="89">
        <v>2021</v>
      </c>
      <c r="F28" s="87">
        <v>43.84</v>
      </c>
      <c r="G28" s="87">
        <f>IFERROR(tbl_Wages[[#This Row],[Wage in price year of data source (without overhead)]]*INDEX(tbl_CPI[Index], MATCH(PriceYear, tbl_CPI[Year], 0))/INDEX(tbl_CPI[Index], MATCH(tbl_Wages[[#This Row],[Price year of data source]], tbl_CPI[Year], 0)), "")</f>
        <v>48.638870056497176</v>
      </c>
    </row>
    <row r="29" spans="2:7" x14ac:dyDescent="0.2">
      <c r="B29" s="124" t="str">
        <v/>
      </c>
      <c r="C29" s="136" t="str">
        <f>TEXT(ROW(C29)-ROW(tbl_Wages[[#Headers],[Number]]), "00")</f>
        <v>15</v>
      </c>
      <c r="D29" s="137" t="s">
        <v>263</v>
      </c>
      <c r="E29" s="89">
        <v>2021</v>
      </c>
      <c r="F29" s="87">
        <v>33.28</v>
      </c>
      <c r="G29" s="87">
        <f>IFERROR(tbl_Wages[[#This Row],[Wage in price year of data source (without overhead)]]*INDEX(tbl_CPI[Index], MATCH(PriceYear, tbl_CPI[Year], 0))/INDEX(tbl_CPI[Index], MATCH(tbl_Wages[[#This Row],[Price year of data source]], tbl_CPI[Year], 0)), "")</f>
        <v>36.922937853107342</v>
      </c>
    </row>
    <row r="30" spans="2:7" x14ac:dyDescent="0.2">
      <c r="B30" s="124" t="str">
        <v/>
      </c>
      <c r="C30" s="136" t="str">
        <f>TEXT(ROW(C30)-ROW(tbl_Wages[[#Headers],[Number]]), "00")</f>
        <v>16</v>
      </c>
      <c r="D30" s="137" t="s">
        <v>264</v>
      </c>
      <c r="E30" s="89">
        <v>2021</v>
      </c>
      <c r="F30" s="87">
        <v>31.85</v>
      </c>
      <c r="G30" s="87">
        <f>IFERROR(tbl_Wages[[#This Row],[Wage in price year of data source (without overhead)]]*INDEX(tbl_CPI[Index], MATCH(PriceYear, tbl_CPI[Year], 0))/INDEX(tbl_CPI[Index], MATCH(tbl_Wages[[#This Row],[Price year of data source]], tbl_CPI[Year], 0)), "")</f>
        <v>35.336405367231642</v>
      </c>
    </row>
    <row r="31" spans="2:7" x14ac:dyDescent="0.2">
      <c r="B31" s="124" t="str">
        <v/>
      </c>
      <c r="C31" s="136" t="str">
        <f>TEXT(ROW(C31)-ROW(tbl_Wages[[#Headers],[Number]]), "00")</f>
        <v>17</v>
      </c>
      <c r="D31" s="137" t="s">
        <v>265</v>
      </c>
      <c r="E31" s="89">
        <v>2021</v>
      </c>
      <c r="F31" s="87">
        <v>39.590000000000003</v>
      </c>
      <c r="G31" s="87">
        <f>IFERROR(tbl_Wages[[#This Row],[Wage in price year of data source (without overhead)]]*INDEX(tbl_CPI[Index], MATCH(PriceYear, tbl_CPI[Year], 0))/INDEX(tbl_CPI[Index], MATCH(tbl_Wages[[#This Row],[Price year of data source]], tbl_CPI[Year], 0)), "")</f>
        <v>43.923651129943501</v>
      </c>
    </row>
    <row r="32" spans="2:7" x14ac:dyDescent="0.2">
      <c r="B32" s="124" t="str">
        <v/>
      </c>
      <c r="C32" s="136" t="str">
        <f>TEXT(ROW(C32)-ROW(tbl_Wages[[#Headers],[Number]]), "00")</f>
        <v>18</v>
      </c>
      <c r="D32" s="137" t="s">
        <v>266</v>
      </c>
      <c r="E32" s="89">
        <v>2021</v>
      </c>
      <c r="F32" s="87">
        <v>41.61</v>
      </c>
      <c r="G32" s="87">
        <f>IFERROR(tbl_Wages[[#This Row],[Wage in price year of data source (without overhead)]]*INDEX(tbl_CPI[Index], MATCH(PriceYear, tbl_CPI[Year], 0))/INDEX(tbl_CPI[Index], MATCH(tbl_Wages[[#This Row],[Price year of data source]], tbl_CPI[Year], 0)), "")</f>
        <v>46.164766949152543</v>
      </c>
    </row>
    <row r="33" spans="2:7" x14ac:dyDescent="0.2">
      <c r="B33" s="124" t="str">
        <v/>
      </c>
      <c r="C33" s="136" t="str">
        <f>TEXT(ROW(C33)-ROW(tbl_Wages[[#Headers],[Number]]), "00")</f>
        <v>19</v>
      </c>
      <c r="D33" s="137" t="s">
        <v>267</v>
      </c>
      <c r="E33" s="89">
        <v>2021</v>
      </c>
      <c r="F33" s="87">
        <v>29.79</v>
      </c>
      <c r="G33" s="87">
        <f>IFERROR(tbl_Wages[[#This Row],[Wage in price year of data source (without overhead)]]*INDEX(tbl_CPI[Index], MATCH(PriceYear, tbl_CPI[Year], 0))/INDEX(tbl_CPI[Index], MATCH(tbl_Wages[[#This Row],[Price year of data source]], tbl_CPI[Year], 0)), "")</f>
        <v>33.050911016949151</v>
      </c>
    </row>
    <row r="34" spans="2:7" x14ac:dyDescent="0.2">
      <c r="B34" s="124" t="str">
        <v/>
      </c>
      <c r="C34" s="136" t="str">
        <f>TEXT(ROW(C34)-ROW(tbl_Wages[[#Headers],[Number]]), "00")</f>
        <v>20</v>
      </c>
      <c r="D34" s="137" t="s">
        <v>268</v>
      </c>
      <c r="E34" s="89">
        <v>2021</v>
      </c>
      <c r="F34" s="87">
        <v>22.16</v>
      </c>
      <c r="G34" s="87">
        <f>IFERROR(tbl_Wages[[#This Row],[Wage in price year of data source (without overhead)]]*INDEX(tbl_CPI[Index], MATCH(PriceYear, tbl_CPI[Year], 0))/INDEX(tbl_CPI[Index], MATCH(tbl_Wages[[#This Row],[Price year of data source]], tbl_CPI[Year], 0)), "")</f>
        <v>24.585706214689264</v>
      </c>
    </row>
    <row r="35" spans="2:7" x14ac:dyDescent="0.2">
      <c r="B35" s="124" t="str">
        <v/>
      </c>
      <c r="C35" s="136" t="str">
        <f>TEXT(ROW(C35)-ROW(tbl_Wages[[#Headers],[Number]]), "00")</f>
        <v>21</v>
      </c>
      <c r="D35" s="137" t="s">
        <v>269</v>
      </c>
      <c r="E35" s="89">
        <v>2021</v>
      </c>
      <c r="F35" s="87">
        <v>35.36</v>
      </c>
      <c r="G35" s="87">
        <f>IFERROR(tbl_Wages[[#This Row],[Wage in price year of data source (without overhead)]]*INDEX(tbl_CPI[Index], MATCH(PriceYear, tbl_CPI[Year], 0))/INDEX(tbl_CPI[Index], MATCH(tbl_Wages[[#This Row],[Price year of data source]], tbl_CPI[Year], 0)), "")</f>
        <v>39.23062146892655</v>
      </c>
    </row>
    <row r="36" spans="2:7" x14ac:dyDescent="0.2">
      <c r="B36" s="124" t="str">
        <v/>
      </c>
      <c r="C36" s="136" t="str">
        <f>TEXT(ROW(C36)-ROW(tbl_Wages[[#Headers],[Number]]), "00")</f>
        <v>22</v>
      </c>
      <c r="D36" s="137" t="s">
        <v>270</v>
      </c>
      <c r="E36" s="89">
        <v>2021</v>
      </c>
      <c r="F36" s="87">
        <v>39.97</v>
      </c>
      <c r="G36" s="87">
        <f>IFERROR(tbl_Wages[[#This Row],[Wage in price year of data source (without overhead)]]*INDEX(tbl_CPI[Index], MATCH(PriceYear, tbl_CPI[Year], 0))/INDEX(tbl_CPI[Index], MATCH(tbl_Wages[[#This Row],[Price year of data source]], tbl_CPI[Year], 0)), "")</f>
        <v>44.345247175141239</v>
      </c>
    </row>
    <row r="37" spans="2:7" x14ac:dyDescent="0.2">
      <c r="B37" s="124" t="str">
        <v/>
      </c>
      <c r="C37" s="136" t="str">
        <f>TEXT(ROW(C37)-ROW(tbl_Wages[[#Headers],[Number]]), "00")</f>
        <v>23</v>
      </c>
      <c r="D37" s="137" t="s">
        <v>271</v>
      </c>
      <c r="E37" s="89">
        <v>2021</v>
      </c>
      <c r="F37" s="87">
        <v>40.03</v>
      </c>
      <c r="G37" s="87">
        <f>IFERROR(tbl_Wages[[#This Row],[Wage in price year of data source (without overhead)]]*INDEX(tbl_CPI[Index], MATCH(PriceYear, tbl_CPI[Year], 0))/INDEX(tbl_CPI[Index], MATCH(tbl_Wages[[#This Row],[Price year of data source]], tbl_CPI[Year], 0)), "")</f>
        <v>44.411814971751411</v>
      </c>
    </row>
    <row r="38" spans="2:7" x14ac:dyDescent="0.2">
      <c r="B38" s="124" t="str">
        <v/>
      </c>
      <c r="C38" s="136" t="str">
        <f>TEXT(ROW(C38)-ROW(tbl_Wages[[#Headers],[Number]]), "00")</f>
        <v>24</v>
      </c>
      <c r="D38" s="137" t="s">
        <v>272</v>
      </c>
      <c r="E38" s="89">
        <v>2021</v>
      </c>
      <c r="F38" s="87">
        <v>23.9</v>
      </c>
      <c r="G38" s="87">
        <f>IFERROR(tbl_Wages[[#This Row],[Wage in price year of data source (without overhead)]]*INDEX(tbl_CPI[Index], MATCH(PriceYear, tbl_CPI[Year], 0))/INDEX(tbl_CPI[Index], MATCH(tbl_Wages[[#This Row],[Price year of data source]], tbl_CPI[Year], 0)), "")</f>
        <v>26.516172316384178</v>
      </c>
    </row>
    <row r="39" spans="2:7" x14ac:dyDescent="0.2">
      <c r="B39" s="124" t="str">
        <v/>
      </c>
      <c r="C39" s="136" t="str">
        <f>TEXT(ROW(C39)-ROW(tbl_Wages[[#Headers],[Number]]), "00")</f>
        <v>25</v>
      </c>
      <c r="D39" s="137" t="s">
        <v>273</v>
      </c>
      <c r="E39" s="89">
        <v>2021</v>
      </c>
      <c r="F39" s="87">
        <v>44.35</v>
      </c>
      <c r="G39" s="87">
        <f>IFERROR(tbl_Wages[[#This Row],[Wage in price year of data source (without overhead)]]*INDEX(tbl_CPI[Index], MATCH(PriceYear, tbl_CPI[Year], 0))/INDEX(tbl_CPI[Index], MATCH(tbl_Wages[[#This Row],[Price year of data source]], tbl_CPI[Year], 0)), "")</f>
        <v>49.204696327683621</v>
      </c>
    </row>
    <row r="40" spans="2:7" x14ac:dyDescent="0.2">
      <c r="B40" s="124" t="str">
        <v/>
      </c>
      <c r="C40" s="136" t="str">
        <f>TEXT(ROW(C40)-ROW(tbl_Wages[[#Headers],[Number]]), "00")</f>
        <v>26</v>
      </c>
      <c r="D40" s="137" t="s">
        <v>274</v>
      </c>
      <c r="E40" s="89">
        <v>2021</v>
      </c>
      <c r="F40" s="87">
        <v>23.86</v>
      </c>
      <c r="G40" s="87">
        <f>IFERROR(tbl_Wages[[#This Row],[Wage in price year of data source (without overhead)]]*INDEX(tbl_CPI[Index], MATCH(PriceYear, tbl_CPI[Year], 0))/INDEX(tbl_CPI[Index], MATCH(tbl_Wages[[#This Row],[Price year of data source]], tbl_CPI[Year], 0)), "")</f>
        <v>26.471793785310734</v>
      </c>
    </row>
    <row r="41" spans="2:7" x14ac:dyDescent="0.2">
      <c r="B41" s="124" t="str">
        <v/>
      </c>
      <c r="C41" s="136" t="str">
        <f>TEXT(ROW(C41)-ROW(tbl_Wages[[#Headers],[Number]]), "00")</f>
        <v>27</v>
      </c>
      <c r="D41" s="137" t="s">
        <v>275</v>
      </c>
      <c r="E41" s="89">
        <v>2021</v>
      </c>
      <c r="F41" s="87">
        <v>28.38</v>
      </c>
      <c r="G41" s="87">
        <f>IFERROR(tbl_Wages[[#This Row],[Wage in price year of data source (without overhead)]]*INDEX(tbl_CPI[Index], MATCH(PriceYear, tbl_CPI[Year], 0))/INDEX(tbl_CPI[Index], MATCH(tbl_Wages[[#This Row],[Price year of data source]], tbl_CPI[Year], 0)), "")</f>
        <v>31.486567796610167</v>
      </c>
    </row>
    <row r="42" spans="2:7" x14ac:dyDescent="0.2">
      <c r="B42" s="124" t="str">
        <v/>
      </c>
      <c r="C42" s="136" t="str">
        <f>TEXT(ROW(C42)-ROW(tbl_Wages[[#Headers],[Number]]), "00")</f>
        <v>28</v>
      </c>
      <c r="D42" s="137" t="s">
        <v>276</v>
      </c>
      <c r="E42" s="89">
        <v>2021</v>
      </c>
      <c r="F42" s="87">
        <v>32.799999999999997</v>
      </c>
      <c r="G42" s="87">
        <f>IFERROR(tbl_Wages[[#This Row],[Wage in price year of data source (without overhead)]]*INDEX(tbl_CPI[Index], MATCH(PriceYear, tbl_CPI[Year], 0))/INDEX(tbl_CPI[Index], MATCH(tbl_Wages[[#This Row],[Price year of data source]], tbl_CPI[Year], 0)), "")</f>
        <v>36.390395480225983</v>
      </c>
    </row>
    <row r="43" spans="2:7" x14ac:dyDescent="0.2">
      <c r="B43" s="124" t="str">
        <v/>
      </c>
      <c r="C43" s="136" t="str">
        <f>TEXT(ROW(C43)-ROW(tbl_Wages[[#Headers],[Number]]), "00")</f>
        <v>29</v>
      </c>
      <c r="D43" s="137" t="s">
        <v>277</v>
      </c>
      <c r="E43" s="89">
        <v>2021</v>
      </c>
      <c r="F43" s="87">
        <v>26.58</v>
      </c>
      <c r="G43" s="87">
        <f>IFERROR(tbl_Wages[[#This Row],[Wage in price year of data source (without overhead)]]*INDEX(tbl_CPI[Index], MATCH(PriceYear, tbl_CPI[Year], 0))/INDEX(tbl_CPI[Index], MATCH(tbl_Wages[[#This Row],[Price year of data source]], tbl_CPI[Year], 0)), "")</f>
        <v>29.489533898305083</v>
      </c>
    </row>
    <row r="44" spans="2:7" x14ac:dyDescent="0.2">
      <c r="B44" s="124" t="str">
        <v/>
      </c>
      <c r="C44" s="136" t="str">
        <f>TEXT(ROW(C44)-ROW(tbl_Wages[[#Headers],[Number]]), "00")</f>
        <v>30</v>
      </c>
      <c r="D44" s="137" t="s">
        <v>278</v>
      </c>
      <c r="E44" s="89">
        <v>2021</v>
      </c>
      <c r="F44" s="87">
        <v>19.55</v>
      </c>
      <c r="G44" s="87">
        <f>IFERROR(tbl_Wages[[#This Row],[Wage in price year of data source (without overhead)]]*INDEX(tbl_CPI[Index], MATCH(PriceYear, tbl_CPI[Year], 0))/INDEX(tbl_CPI[Index], MATCH(tbl_Wages[[#This Row],[Price year of data source]], tbl_CPI[Year], 0)), "")</f>
        <v>21.690007062146893</v>
      </c>
    </row>
    <row r="45" spans="2:7" x14ac:dyDescent="0.2">
      <c r="B45" s="124" t="str">
        <v/>
      </c>
      <c r="C45" s="136" t="str">
        <f>TEXT(ROW(C45)-ROW(tbl_Wages[[#Headers],[Number]]), "00")</f>
        <v>31</v>
      </c>
      <c r="D45" s="137" t="s">
        <v>279</v>
      </c>
      <c r="E45" s="89">
        <v>2021</v>
      </c>
      <c r="F45" s="87">
        <v>25.49</v>
      </c>
      <c r="G45" s="87">
        <f>IFERROR(tbl_Wages[[#This Row],[Wage in price year of data source (without overhead)]]*INDEX(tbl_CPI[Index], MATCH(PriceYear, tbl_CPI[Year], 0))/INDEX(tbl_CPI[Index], MATCH(tbl_Wages[[#This Row],[Price year of data source]], tbl_CPI[Year], 0)), "")</f>
        <v>28.280218926553673</v>
      </c>
    </row>
    <row r="46" spans="2:7" x14ac:dyDescent="0.2">
      <c r="B46" s="124" t="str">
        <v/>
      </c>
      <c r="C46" s="136" t="str">
        <f>TEXT(ROW(C46)-ROW(tbl_Wages[[#Headers],[Number]]), "00")</f>
        <v>32</v>
      </c>
      <c r="D46" s="137" t="s">
        <v>280</v>
      </c>
      <c r="E46" s="89">
        <v>2021</v>
      </c>
      <c r="F46" s="87">
        <v>19.84</v>
      </c>
      <c r="G46" s="87">
        <f>IFERROR(tbl_Wages[[#This Row],[Wage in price year of data source (without overhead)]]*INDEX(tbl_CPI[Index], MATCH(PriceYear, tbl_CPI[Year], 0))/INDEX(tbl_CPI[Index], MATCH(tbl_Wages[[#This Row],[Price year of data source]], tbl_CPI[Year], 0)), "")</f>
        <v>22.01175141242938</v>
      </c>
    </row>
    <row r="47" spans="2:7" x14ac:dyDescent="0.2">
      <c r="B47" s="124" t="str">
        <v/>
      </c>
      <c r="C47" s="136" t="str">
        <f>TEXT(ROW(C47)-ROW(tbl_Wages[[#Headers],[Number]]), "00")</f>
        <v>33</v>
      </c>
      <c r="D47" s="137" t="s">
        <v>281</v>
      </c>
      <c r="E47" s="89">
        <v>2021</v>
      </c>
      <c r="F47" s="87">
        <v>20.440000000000001</v>
      </c>
      <c r="G47" s="87">
        <f>IFERROR(tbl_Wages[[#This Row],[Wage in price year of data source (without overhead)]]*INDEX(tbl_CPI[Index], MATCH(PriceYear, tbl_CPI[Year], 0))/INDEX(tbl_CPI[Index], MATCH(tbl_Wages[[#This Row],[Price year of data source]], tbl_CPI[Year], 0)), "")</f>
        <v>22.677429378531077</v>
      </c>
    </row>
    <row r="48" spans="2:7" x14ac:dyDescent="0.2">
      <c r="B48" s="124" t="str">
        <v/>
      </c>
      <c r="C48" s="136" t="str">
        <f>TEXT(ROW(C48)-ROW(tbl_Wages[[#Headers],[Number]]), "00")</f>
        <v>34</v>
      </c>
      <c r="D48" s="137" t="s">
        <v>282</v>
      </c>
      <c r="E48" s="89">
        <v>2021</v>
      </c>
      <c r="F48" s="87">
        <v>19.670000000000002</v>
      </c>
      <c r="G48" s="87">
        <f>IFERROR(tbl_Wages[[#This Row],[Wage in price year of data source (without overhead)]]*INDEX(tbl_CPI[Index], MATCH(PriceYear, tbl_CPI[Year], 0))/INDEX(tbl_CPI[Index], MATCH(tbl_Wages[[#This Row],[Price year of data source]], tbl_CPI[Year], 0)), "")</f>
        <v>21.823142655367235</v>
      </c>
    </row>
    <row r="49" spans="2:10" x14ac:dyDescent="0.2">
      <c r="B49" s="124" t="str">
        <v/>
      </c>
      <c r="C49" s="136" t="str">
        <f>TEXT(ROW(C49)-ROW(tbl_Wages[[#Headers],[Number]]), "00")</f>
        <v>35</v>
      </c>
      <c r="D49" s="137" t="s">
        <v>283</v>
      </c>
      <c r="E49" s="89">
        <v>2021</v>
      </c>
      <c r="F49" s="87">
        <v>15.45</v>
      </c>
      <c r="G49" s="87">
        <f>IFERROR(tbl_Wages[[#This Row],[Wage in price year of data source (without overhead)]]*INDEX(tbl_CPI[Index], MATCH(PriceYear, tbl_CPI[Year], 0))/INDEX(tbl_CPI[Index], MATCH(tbl_Wages[[#This Row],[Price year of data source]], tbl_CPI[Year], 0)), "")</f>
        <v>17.141207627118643</v>
      </c>
    </row>
    <row r="50" spans="2:10" x14ac:dyDescent="0.2">
      <c r="B50" s="124" t="str">
        <v/>
      </c>
      <c r="C50" s="136" t="str">
        <f>TEXT(ROW(C50)-ROW(tbl_Wages[[#Headers],[Number]]), "00")</f>
        <v>36</v>
      </c>
      <c r="D50" s="137" t="s">
        <v>284</v>
      </c>
      <c r="E50" s="89">
        <v>2021</v>
      </c>
      <c r="F50" s="87">
        <v>17.54</v>
      </c>
      <c r="G50" s="87">
        <f>IFERROR(tbl_Wages[[#This Row],[Wage in price year of data source (without overhead)]]*INDEX(tbl_CPI[Index], MATCH(PriceYear, tbl_CPI[Year], 0))/INDEX(tbl_CPI[Index], MATCH(tbl_Wages[[#This Row],[Price year of data source]], tbl_CPI[Year], 0)), "")</f>
        <v>19.459985875706213</v>
      </c>
    </row>
    <row r="51" spans="2:10" x14ac:dyDescent="0.2">
      <c r="B51" s="124" t="str">
        <v/>
      </c>
      <c r="C51" s="136" t="str">
        <f>TEXT(ROW(C51)-ROW(tbl_Wages[[#Headers],[Number]]), "00")</f>
        <v>37</v>
      </c>
      <c r="D51" s="137" t="s">
        <v>285</v>
      </c>
      <c r="E51" s="89">
        <v>2021</v>
      </c>
      <c r="F51" s="87">
        <v>28.67</v>
      </c>
      <c r="G51" s="87">
        <f>IFERROR(tbl_Wages[[#This Row],[Wage in price year of data source (without overhead)]]*INDEX(tbl_CPI[Index], MATCH(PriceYear, tbl_CPI[Year], 0))/INDEX(tbl_CPI[Index], MATCH(tbl_Wages[[#This Row],[Price year of data source]], tbl_CPI[Year], 0)), "")</f>
        <v>31.808312146892654</v>
      </c>
    </row>
    <row r="52" spans="2:10" x14ac:dyDescent="0.2">
      <c r="B52" s="124" t="str">
        <v/>
      </c>
      <c r="C52" s="136" t="str">
        <f>TEXT(ROW(C52)-ROW(tbl_Wages[[#Headers],[Number]]), "00")</f>
        <v>38</v>
      </c>
      <c r="D52" s="137" t="s">
        <v>286</v>
      </c>
      <c r="E52" s="89">
        <v>2021</v>
      </c>
      <c r="F52" s="87">
        <v>32.07</v>
      </c>
      <c r="G52" s="87">
        <f>IFERROR(tbl_Wages[[#This Row],[Wage in price year of data source (without overhead)]]*INDEX(tbl_CPI[Index], MATCH(PriceYear, tbl_CPI[Year], 0))/INDEX(tbl_CPI[Index], MATCH(tbl_Wages[[#This Row],[Price year of data source]], tbl_CPI[Year], 0)), "")</f>
        <v>35.580487288135593</v>
      </c>
    </row>
    <row r="53" spans="2:10" x14ac:dyDescent="0.2">
      <c r="B53" s="124" t="str">
        <v/>
      </c>
      <c r="C53" s="136" t="str">
        <f>TEXT(ROW(C53)-ROW(tbl_Wages[[#Headers],[Number]]), "00")</f>
        <v>39</v>
      </c>
      <c r="D53" s="137" t="s">
        <v>287</v>
      </c>
      <c r="E53" s="89">
        <v>2021</v>
      </c>
      <c r="F53" s="87">
        <v>32.549999999999997</v>
      </c>
      <c r="G53" s="87">
        <f>IFERROR(tbl_Wages[[#This Row],[Wage in price year of data source (without overhead)]]*INDEX(tbl_CPI[Index], MATCH(PriceYear, tbl_CPI[Year], 0))/INDEX(tbl_CPI[Index], MATCH(tbl_Wages[[#This Row],[Price year of data source]], tbl_CPI[Year], 0)), "")</f>
        <v>36.113029661016945</v>
      </c>
    </row>
    <row r="54" spans="2:10" x14ac:dyDescent="0.2">
      <c r="B54" s="124" t="str">
        <v/>
      </c>
      <c r="C54" s="136" t="str">
        <f>TEXT(ROW(C54)-ROW(tbl_Wages[[#Headers],[Number]]), "00")</f>
        <v>40</v>
      </c>
      <c r="D54" s="137" t="s">
        <v>288</v>
      </c>
      <c r="E54" s="89">
        <v>2021</v>
      </c>
      <c r="F54" s="87">
        <v>22.13</v>
      </c>
      <c r="G54" s="87">
        <f>IFERROR(tbl_Wages[[#This Row],[Wage in price year of data source (without overhead)]]*INDEX(tbl_CPI[Index], MATCH(PriceYear, tbl_CPI[Year], 0))/INDEX(tbl_CPI[Index], MATCH(tbl_Wages[[#This Row],[Price year of data source]], tbl_CPI[Year], 0)), "")</f>
        <v>24.552422316384177</v>
      </c>
    </row>
    <row r="55" spans="2:10" x14ac:dyDescent="0.2">
      <c r="B55" s="124" t="str">
        <v/>
      </c>
      <c r="C55" s="136" t="str">
        <f>TEXT(ROW(C55)-ROW(tbl_Wages[[#Headers],[Number]]), "00")</f>
        <v>41</v>
      </c>
      <c r="D55" s="137" t="s">
        <v>289</v>
      </c>
      <c r="E55" s="89">
        <v>2021</v>
      </c>
      <c r="F55" s="87">
        <v>24.95</v>
      </c>
      <c r="G55" s="87">
        <f>IFERROR(tbl_Wages[[#This Row],[Wage in price year of data source (without overhead)]]*INDEX(tbl_CPI[Index], MATCH(PriceYear, tbl_CPI[Year], 0))/INDEX(tbl_CPI[Index], MATCH(tbl_Wages[[#This Row],[Price year of data source]], tbl_CPI[Year], 0)), "")</f>
        <v>27.681108757062145</v>
      </c>
    </row>
    <row r="56" spans="2:10" x14ac:dyDescent="0.2">
      <c r="B56" s="124" t="str">
        <v/>
      </c>
      <c r="C56" s="136" t="str">
        <f>TEXT(ROW(C56)-ROW(tbl_Wages[[#Headers],[Number]]), "00")</f>
        <v>42</v>
      </c>
      <c r="D56" s="137" t="s">
        <v>290</v>
      </c>
      <c r="E56" s="89">
        <v>2021</v>
      </c>
      <c r="F56" s="87">
        <v>24.09</v>
      </c>
      <c r="G56" s="87">
        <f>IFERROR(tbl_Wages[[#This Row],[Wage in price year of data source (without overhead)]]*INDEX(tbl_CPI[Index], MATCH(PriceYear, tbl_CPI[Year], 0))/INDEX(tbl_CPI[Index], MATCH(tbl_Wages[[#This Row],[Price year of data source]], tbl_CPI[Year], 0)), "")</f>
        <v>26.726970338983051</v>
      </c>
    </row>
    <row r="57" spans="2:10" x14ac:dyDescent="0.2">
      <c r="B57" s="124" t="str">
        <v/>
      </c>
      <c r="C57" s="136" t="str">
        <f>TEXT(ROW(C57)-ROW(tbl_Wages[[#Headers],[Number]]), "00")</f>
        <v>43</v>
      </c>
      <c r="D57" s="137" t="s">
        <v>291</v>
      </c>
      <c r="E57" s="89">
        <v>2021</v>
      </c>
      <c r="F57" s="87">
        <v>25.98</v>
      </c>
      <c r="G57" s="87">
        <f>IFERROR(tbl_Wages[[#This Row],[Wage in price year of data source (without overhead)]]*INDEX(tbl_CPI[Index], MATCH(PriceYear, tbl_CPI[Year], 0))/INDEX(tbl_CPI[Index], MATCH(tbl_Wages[[#This Row],[Price year of data source]], tbl_CPI[Year], 0)), "")</f>
        <v>28.82385593220339</v>
      </c>
      <c r="J57" s="150"/>
    </row>
    <row r="58" spans="2:10" x14ac:dyDescent="0.2">
      <c r="B58" s="124" t="str">
        <v/>
      </c>
      <c r="C58" s="136" t="str">
        <f>TEXT(ROW(C58)-ROW(tbl_Wages[[#Headers],[Number]]), "00")</f>
        <v>44</v>
      </c>
      <c r="D58" s="137" t="s">
        <v>292</v>
      </c>
      <c r="E58" s="89">
        <v>2021</v>
      </c>
      <c r="F58" s="87">
        <v>35.32</v>
      </c>
      <c r="G58" s="87">
        <f>IFERROR(tbl_Wages[[#This Row],[Wage in price year of data source (without overhead)]]*INDEX(tbl_CPI[Index], MATCH(PriceYear, tbl_CPI[Year], 0))/INDEX(tbl_CPI[Index], MATCH(tbl_Wages[[#This Row],[Price year of data source]], tbl_CPI[Year], 0)), "")</f>
        <v>39.186242937853109</v>
      </c>
    </row>
    <row r="59" spans="2:10" x14ac:dyDescent="0.2">
      <c r="B59" s="124" t="str">
        <v/>
      </c>
      <c r="C59" s="136" t="str">
        <f>TEXT(ROW(C59)-ROW(tbl_Wages[[#Headers],[Number]]), "00")</f>
        <v>45</v>
      </c>
      <c r="D59" s="137" t="s">
        <v>293</v>
      </c>
      <c r="E59" s="89">
        <v>2021</v>
      </c>
      <c r="F59" s="87">
        <v>20.99</v>
      </c>
      <c r="G59" s="87">
        <f>IFERROR(tbl_Wages[[#This Row],[Wage in price year of data source (without overhead)]]*INDEX(tbl_CPI[Index], MATCH(PriceYear, tbl_CPI[Year], 0))/INDEX(tbl_CPI[Index], MATCH(tbl_Wages[[#This Row],[Price year of data source]], tbl_CPI[Year], 0)), "")</f>
        <v>23.28763418079096</v>
      </c>
    </row>
    <row r="60" spans="2:10" x14ac:dyDescent="0.2">
      <c r="B60" s="124" t="str">
        <v/>
      </c>
      <c r="C60" s="136" t="str">
        <f>TEXT(ROW(C60)-ROW(tbl_Wages[[#Headers],[Number]]), "00")</f>
        <v>46</v>
      </c>
      <c r="D60" s="137" t="s">
        <v>294</v>
      </c>
      <c r="E60" s="89">
        <v>2021</v>
      </c>
      <c r="F60" s="87">
        <v>21.16</v>
      </c>
      <c r="G60" s="87">
        <f>IFERROR(tbl_Wages[[#This Row],[Wage in price year of data source (without overhead)]]*INDEX(tbl_CPI[Index], MATCH(PriceYear, tbl_CPI[Year], 0))/INDEX(tbl_CPI[Index], MATCH(tbl_Wages[[#This Row],[Price year of data source]], tbl_CPI[Year], 0)), "")</f>
        <v>23.476242937853108</v>
      </c>
    </row>
    <row r="61" spans="2:10" x14ac:dyDescent="0.2">
      <c r="B61" s="124" t="str">
        <v/>
      </c>
      <c r="C61" s="136" t="str">
        <f>TEXT(ROW(C61)-ROW(tbl_Wages[[#Headers],[Number]]), "00")</f>
        <v>47</v>
      </c>
      <c r="D61" s="137" t="s">
        <v>295</v>
      </c>
      <c r="E61" s="89">
        <v>2021</v>
      </c>
      <c r="F61" s="87">
        <v>24.85</v>
      </c>
      <c r="G61" s="87">
        <f>IFERROR(tbl_Wages[[#This Row],[Wage in price year of data source (without overhead)]]*INDEX(tbl_CPI[Index], MATCH(PriceYear, tbl_CPI[Year], 0))/INDEX(tbl_CPI[Index], MATCH(tbl_Wages[[#This Row],[Price year of data source]], tbl_CPI[Year], 0)), "")</f>
        <v>27.570162429378531</v>
      </c>
    </row>
    <row r="62" spans="2:10" x14ac:dyDescent="0.2">
      <c r="B62" s="124" t="str">
        <v/>
      </c>
      <c r="C62" s="136" t="str">
        <f>TEXT(ROW(C62)-ROW(tbl_Wages[[#Headers],[Number]]), "00")</f>
        <v>48</v>
      </c>
      <c r="D62" s="137" t="s">
        <v>296</v>
      </c>
      <c r="E62" s="89">
        <v>2021</v>
      </c>
      <c r="F62" s="87">
        <v>35.049999999999997</v>
      </c>
      <c r="G62" s="87">
        <f>IFERROR(tbl_Wages[[#This Row],[Wage in price year of data source (without overhead)]]*INDEX(tbl_CPI[Index], MATCH(PriceYear, tbl_CPI[Year], 0))/INDEX(tbl_CPI[Index], MATCH(tbl_Wages[[#This Row],[Price year of data source]], tbl_CPI[Year], 0)), "")</f>
        <v>38.88668785310734</v>
      </c>
    </row>
    <row r="63" spans="2:10" x14ac:dyDescent="0.2">
      <c r="B63" s="124" t="str">
        <v/>
      </c>
      <c r="C63" s="136" t="str">
        <f>TEXT(ROW(C63)-ROW(tbl_Wages[[#Headers],[Number]]), "00")</f>
        <v>49</v>
      </c>
      <c r="D63" s="137" t="s">
        <v>297</v>
      </c>
      <c r="E63" s="89">
        <v>2021</v>
      </c>
      <c r="F63" s="87">
        <v>22.37</v>
      </c>
      <c r="G63" s="87">
        <f>IFERROR(tbl_Wages[[#This Row],[Wage in price year of data source (without overhead)]]*INDEX(tbl_CPI[Index], MATCH(PriceYear, tbl_CPI[Year], 0))/INDEX(tbl_CPI[Index], MATCH(tbl_Wages[[#This Row],[Price year of data source]], tbl_CPI[Year], 0)), "")</f>
        <v>24.818693502824861</v>
      </c>
    </row>
    <row r="64" spans="2:10" x14ac:dyDescent="0.2">
      <c r="B64" s="124" t="str">
        <v/>
      </c>
      <c r="C64" s="136" t="str">
        <f>TEXT(ROW(C64)-ROW(tbl_Wages[[#Headers],[Number]]), "00")</f>
        <v>50</v>
      </c>
      <c r="D64" s="137" t="s">
        <v>298</v>
      </c>
      <c r="E64" s="89">
        <v>2021</v>
      </c>
      <c r="F64" s="87">
        <v>22.94</v>
      </c>
      <c r="G64" s="87">
        <f>IFERROR(tbl_Wages[[#This Row],[Wage in price year of data source (without overhead)]]*INDEX(tbl_CPI[Index], MATCH(PriceYear, tbl_CPI[Year], 0))/INDEX(tbl_CPI[Index], MATCH(tbl_Wages[[#This Row],[Price year of data source]], tbl_CPI[Year], 0)), "")</f>
        <v>25.451087570621471</v>
      </c>
    </row>
    <row r="65" spans="2:9" x14ac:dyDescent="0.2">
      <c r="B65" s="124" t="str">
        <v/>
      </c>
      <c r="C65" s="136" t="str">
        <f>TEXT(ROW(C65)-ROW(tbl_Wages[[#Headers],[Number]]), "00")</f>
        <v>51</v>
      </c>
      <c r="D65" s="138" t="s">
        <v>299</v>
      </c>
      <c r="E65" s="89">
        <v>2021</v>
      </c>
      <c r="F65" s="87">
        <v>19.61</v>
      </c>
      <c r="G65" s="88">
        <f>IFERROR(tbl_Wages[[#This Row],[Wage in price year of data source (without overhead)]]*INDEX(tbl_CPI[Index], MATCH(PriceYear, tbl_CPI[Year], 0))/INDEX(tbl_CPI[Index], MATCH(tbl_Wages[[#This Row],[Price year of data source]], tbl_CPI[Year], 0)), "")</f>
        <v>21.756574858757062</v>
      </c>
      <c r="I65" s="153"/>
    </row>
    <row r="66" spans="2:9" x14ac:dyDescent="0.2">
      <c r="B66" s="124" t="str">
        <v>Type Here ⮚</v>
      </c>
      <c r="C66" s="136" t="str">
        <f>TEXT(ROW(C66)-ROW(tbl_Wages[[#Headers],[Number]]), "00")</f>
        <v>52</v>
      </c>
      <c r="D66" s="139" t="s">
        <v>359</v>
      </c>
      <c r="E66" s="58"/>
      <c r="F66" s="59"/>
      <c r="G66" s="87" t="str">
        <f>IFERROR(tbl_Wages[[#This Row],[Wage in price year of data source (without overhead)]]*INDEX(tbl_CPI[Index], MATCH(PriceYear, tbl_CPI[Year], 0))/INDEX(tbl_CPI[Index], MATCH(tbl_Wages[[#This Row],[Price year of data source]], tbl_CPI[Year], 0)), "")</f>
        <v/>
      </c>
      <c r="H66" s="151"/>
    </row>
    <row r="67" spans="2:9" x14ac:dyDescent="0.2">
      <c r="B67" s="124" t="str">
        <v/>
      </c>
    </row>
    <row r="68" spans="2:9" x14ac:dyDescent="0.2">
      <c r="H68" s="152"/>
    </row>
    <row r="69" spans="2:9" x14ac:dyDescent="0.2">
      <c r="F69" s="150"/>
      <c r="G69" s="150"/>
      <c r="H69" s="152"/>
    </row>
    <row r="70" spans="2:9" x14ac:dyDescent="0.2">
      <c r="E70" s="150"/>
      <c r="G70" s="150"/>
      <c r="H70" s="152"/>
    </row>
    <row r="72" spans="2:9" x14ac:dyDescent="0.2">
      <c r="G72" s="150"/>
    </row>
    <row r="73" spans="2:9" x14ac:dyDescent="0.2">
      <c r="G73" s="150"/>
    </row>
  </sheetData>
  <phoneticPr fontId="3"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D38"/>
  <sheetViews>
    <sheetView showGridLines="0" zoomScale="120" zoomScaleNormal="120" workbookViewId="0">
      <selection activeCell="D37" sqref="D37"/>
    </sheetView>
  </sheetViews>
  <sheetFormatPr defaultColWidth="9.140625" defaultRowHeight="12" x14ac:dyDescent="0.2"/>
  <cols>
    <col min="1" max="1" width="2.42578125" style="15" customWidth="1"/>
    <col min="2" max="2" width="12.140625" style="15" customWidth="1"/>
    <col min="3" max="3" width="11" style="15" customWidth="1"/>
    <col min="4" max="4" width="11.5703125" style="15" customWidth="1"/>
    <col min="5" max="5" width="15.42578125" style="15" customWidth="1"/>
    <col min="6" max="6" width="11.42578125" style="15" bestFit="1" customWidth="1"/>
    <col min="7" max="7" width="15.5703125" style="15" customWidth="1"/>
    <col min="8" max="16384" width="9.140625" style="15"/>
  </cols>
  <sheetData>
    <row r="2" spans="2:4" x14ac:dyDescent="0.2">
      <c r="C2" s="73" t="s">
        <v>83</v>
      </c>
    </row>
    <row r="14" spans="2:4" x14ac:dyDescent="0.2">
      <c r="C14" s="74" t="s">
        <v>84</v>
      </c>
      <c r="D14" s="75" t="s">
        <v>85</v>
      </c>
    </row>
    <row r="15" spans="2:4" x14ac:dyDescent="0.2">
      <c r="B15" s="15" t="str" cm="1">
        <f t="array" ref="B15:B38">_xlfn.VSTACK(IF(tbl_CPI[Year]=tbl_CPI[Year], ""), "Type Here ⮚")</f>
        <v/>
      </c>
      <c r="C15" s="244">
        <v>2002</v>
      </c>
      <c r="D15" s="245">
        <v>100</v>
      </c>
    </row>
    <row r="16" spans="2:4" x14ac:dyDescent="0.2">
      <c r="B16" s="15" t="str">
        <v/>
      </c>
      <c r="C16" s="76">
        <v>2003</v>
      </c>
      <c r="D16" s="77">
        <v>102.8</v>
      </c>
    </row>
    <row r="17" spans="2:4" x14ac:dyDescent="0.2">
      <c r="B17" s="15" t="str">
        <v/>
      </c>
      <c r="C17" s="76">
        <v>2004</v>
      </c>
      <c r="D17" s="77">
        <v>104.7</v>
      </c>
    </row>
    <row r="18" spans="2:4" x14ac:dyDescent="0.2">
      <c r="B18" s="15" t="str">
        <v/>
      </c>
      <c r="C18" s="76">
        <v>2005</v>
      </c>
      <c r="D18" s="77">
        <v>107</v>
      </c>
    </row>
    <row r="19" spans="2:4" x14ac:dyDescent="0.2">
      <c r="B19" s="15" t="str">
        <v/>
      </c>
      <c r="C19" s="76">
        <v>2006</v>
      </c>
      <c r="D19" s="77">
        <v>109.1</v>
      </c>
    </row>
    <row r="20" spans="2:4" x14ac:dyDescent="0.2">
      <c r="B20" s="15" t="str">
        <v/>
      </c>
      <c r="C20" s="76">
        <v>2007</v>
      </c>
      <c r="D20" s="77">
        <v>111.5</v>
      </c>
    </row>
    <row r="21" spans="2:4" x14ac:dyDescent="0.2">
      <c r="B21" s="15" t="str">
        <v/>
      </c>
      <c r="C21" s="76">
        <v>2008</v>
      </c>
      <c r="D21" s="77">
        <v>114.1</v>
      </c>
    </row>
    <row r="22" spans="2:4" x14ac:dyDescent="0.2">
      <c r="B22" s="15" t="str">
        <v/>
      </c>
      <c r="C22" s="76">
        <v>2009</v>
      </c>
      <c r="D22" s="77">
        <v>114.4</v>
      </c>
    </row>
    <row r="23" spans="2:4" x14ac:dyDescent="0.2">
      <c r="B23" s="15" t="str">
        <v/>
      </c>
      <c r="C23" s="76">
        <v>2010</v>
      </c>
      <c r="D23" s="77">
        <v>116.5</v>
      </c>
    </row>
    <row r="24" spans="2:4" x14ac:dyDescent="0.2">
      <c r="B24" s="15" t="str">
        <v/>
      </c>
      <c r="C24" s="76">
        <v>2011</v>
      </c>
      <c r="D24" s="77">
        <v>119.9</v>
      </c>
    </row>
    <row r="25" spans="2:4" x14ac:dyDescent="0.2">
      <c r="B25" s="15" t="str">
        <v/>
      </c>
      <c r="C25" s="76">
        <v>2012</v>
      </c>
      <c r="D25" s="77">
        <v>121.7</v>
      </c>
    </row>
    <row r="26" spans="2:4" x14ac:dyDescent="0.2">
      <c r="B26" s="15" t="str">
        <v/>
      </c>
      <c r="C26" s="76">
        <v>2013</v>
      </c>
      <c r="D26" s="77">
        <v>122.8</v>
      </c>
    </row>
    <row r="27" spans="2:4" x14ac:dyDescent="0.2">
      <c r="B27" s="15" t="str">
        <v/>
      </c>
      <c r="C27" s="76">
        <v>2014</v>
      </c>
      <c r="D27" s="77">
        <v>125.2</v>
      </c>
    </row>
    <row r="28" spans="2:4" x14ac:dyDescent="0.2">
      <c r="B28" s="15" t="str">
        <v/>
      </c>
      <c r="C28" s="76">
        <v>2015</v>
      </c>
      <c r="D28" s="77">
        <v>126.6</v>
      </c>
    </row>
    <row r="29" spans="2:4" x14ac:dyDescent="0.2">
      <c r="B29" s="15" t="str">
        <v/>
      </c>
      <c r="C29" s="76">
        <v>2016</v>
      </c>
      <c r="D29" s="77">
        <v>128.4</v>
      </c>
    </row>
    <row r="30" spans="2:4" x14ac:dyDescent="0.2">
      <c r="B30" s="15" t="str">
        <v/>
      </c>
      <c r="C30" s="76">
        <v>2017</v>
      </c>
      <c r="D30" s="77">
        <v>130.4</v>
      </c>
    </row>
    <row r="31" spans="2:4" x14ac:dyDescent="0.2">
      <c r="B31" s="15" t="str">
        <v/>
      </c>
      <c r="C31" s="76">
        <v>2018</v>
      </c>
      <c r="D31" s="77">
        <v>133.4</v>
      </c>
    </row>
    <row r="32" spans="2:4" x14ac:dyDescent="0.2">
      <c r="B32" s="15" t="str">
        <v/>
      </c>
      <c r="C32" s="76">
        <v>2019</v>
      </c>
      <c r="D32" s="77">
        <v>136</v>
      </c>
    </row>
    <row r="33" spans="2:4" x14ac:dyDescent="0.2">
      <c r="B33" s="15" t="str">
        <v/>
      </c>
      <c r="C33" s="76">
        <v>2020</v>
      </c>
      <c r="D33" s="77">
        <v>137</v>
      </c>
    </row>
    <row r="34" spans="2:4" x14ac:dyDescent="0.2">
      <c r="B34" s="15" t="str">
        <v/>
      </c>
      <c r="C34" s="76">
        <v>2021</v>
      </c>
      <c r="D34" s="77">
        <v>141.6</v>
      </c>
    </row>
    <row r="35" spans="2:4" x14ac:dyDescent="0.2">
      <c r="B35" s="15" t="str">
        <v/>
      </c>
      <c r="C35" s="76">
        <v>2022</v>
      </c>
      <c r="D35" s="77">
        <v>151.19999999999999</v>
      </c>
    </row>
    <row r="36" spans="2:4" x14ac:dyDescent="0.2">
      <c r="B36" s="15" t="str">
        <v/>
      </c>
      <c r="C36" s="76">
        <v>2023</v>
      </c>
      <c r="D36" s="77">
        <v>157.1</v>
      </c>
    </row>
    <row r="37" spans="2:4" x14ac:dyDescent="0.2">
      <c r="B37" s="15" t="str">
        <v/>
      </c>
      <c r="C37" s="78">
        <v>2024</v>
      </c>
      <c r="D37" s="79">
        <v>160.9</v>
      </c>
    </row>
    <row r="38" spans="2:4" x14ac:dyDescent="0.2">
      <c r="B38" s="15"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Q65"/>
  <sheetViews>
    <sheetView zoomScale="70" zoomScaleNormal="70" workbookViewId="0"/>
  </sheetViews>
  <sheetFormatPr defaultColWidth="8.7109375" defaultRowHeight="15" x14ac:dyDescent="0.25"/>
  <cols>
    <col min="1" max="1" width="12.85546875" style="30" customWidth="1"/>
    <col min="2" max="2" width="61.28515625" style="30" customWidth="1"/>
    <col min="3" max="3" width="20.85546875" style="30" customWidth="1"/>
    <col min="4" max="4" width="9.85546875" style="30" customWidth="1"/>
    <col min="5" max="5" width="7" style="30" customWidth="1"/>
    <col min="6" max="6" width="9.5703125" style="30" customWidth="1"/>
    <col min="7" max="7" width="14.42578125" style="30" customWidth="1"/>
    <col min="8" max="8" width="21.5703125" style="30" customWidth="1"/>
    <col min="9" max="9" width="12.5703125" customWidth="1"/>
    <col min="10" max="12" width="17.140625" customWidth="1"/>
    <col min="13" max="13" width="25.5703125" customWidth="1"/>
    <col min="14" max="16" width="18.140625" customWidth="1"/>
    <col min="17" max="17" width="18.5703125" customWidth="1"/>
    <col min="18" max="18" width="17.85546875" customWidth="1"/>
    <col min="19" max="22" width="17.140625" customWidth="1"/>
    <col min="23" max="23" width="17.42578125" customWidth="1"/>
    <col min="24" max="24" width="19.5703125" customWidth="1"/>
    <col min="25" max="25" width="12.5703125" customWidth="1"/>
    <col min="27" max="27" width="26.140625" style="30" bestFit="1" customWidth="1"/>
    <col min="28" max="28" width="23.85546875" bestFit="1" customWidth="1"/>
    <col min="29" max="29" width="11.85546875" customWidth="1"/>
    <col min="30" max="30" width="13.42578125" customWidth="1"/>
    <col min="31" max="33" width="18" customWidth="1"/>
    <col min="34" max="34" width="17.42578125" customWidth="1"/>
    <col min="35" max="35" width="13" customWidth="1"/>
    <col min="36" max="37" width="13.42578125" customWidth="1"/>
    <col min="38" max="38" width="15.42578125" customWidth="1"/>
    <col min="39" max="40" width="14.5703125" customWidth="1"/>
    <col min="41" max="41" width="28.42578125" customWidth="1"/>
    <col min="42" max="43" width="15.42578125" customWidth="1"/>
  </cols>
  <sheetData>
    <row r="1" spans="1:43" s="8" customFormat="1" ht="79.5" customHeight="1" x14ac:dyDescent="0.25">
      <c r="A1" s="4" t="s">
        <v>86</v>
      </c>
      <c r="B1" s="6" t="s">
        <v>87</v>
      </c>
      <c r="C1" s="6" t="s">
        <v>88</v>
      </c>
      <c r="D1" s="6" t="s">
        <v>89</v>
      </c>
      <c r="E1" s="6" t="s">
        <v>84</v>
      </c>
      <c r="F1" s="6" t="s">
        <v>90</v>
      </c>
      <c r="G1" s="6" t="s">
        <v>91</v>
      </c>
      <c r="H1" s="6" t="s">
        <v>92</v>
      </c>
      <c r="I1" s="6" t="s">
        <v>33</v>
      </c>
      <c r="J1" s="6" t="s">
        <v>93</v>
      </c>
      <c r="K1" s="6" t="s">
        <v>94</v>
      </c>
      <c r="L1" s="6" t="s">
        <v>95</v>
      </c>
      <c r="M1" s="6" t="str">
        <f>"Cost Per Event ("&amp;PriceYear&amp;" CAD)"</f>
        <v>Cost Per Event (2023 CAD)</v>
      </c>
      <c r="N1" s="4" t="s">
        <v>96</v>
      </c>
      <c r="O1" s="4" t="s">
        <v>97</v>
      </c>
      <c r="P1" s="4" t="s">
        <v>98</v>
      </c>
      <c r="Q1" s="6" t="s">
        <v>99</v>
      </c>
      <c r="R1" s="6" t="s">
        <v>100</v>
      </c>
      <c r="S1" s="6" t="s">
        <v>101</v>
      </c>
      <c r="T1" s="6" t="s">
        <v>102</v>
      </c>
      <c r="U1" s="6" t="s">
        <v>103</v>
      </c>
      <c r="V1" s="6" t="s">
        <v>104</v>
      </c>
      <c r="W1" s="6" t="s">
        <v>105</v>
      </c>
      <c r="X1" s="6" t="s">
        <v>106</v>
      </c>
      <c r="Y1"/>
      <c r="Z1"/>
      <c r="AA1" s="6" t="s">
        <v>107</v>
      </c>
      <c r="AB1" s="4" t="s">
        <v>108</v>
      </c>
      <c r="AC1" s="4" t="s">
        <v>109</v>
      </c>
      <c r="AD1" s="4" t="s">
        <v>110</v>
      </c>
      <c r="AE1" s="4" t="s">
        <v>111</v>
      </c>
      <c r="AF1" s="4" t="s">
        <v>112</v>
      </c>
      <c r="AG1" s="4" t="s">
        <v>113</v>
      </c>
      <c r="AH1" s="4" t="s">
        <v>114</v>
      </c>
      <c r="AI1" s="4" t="s">
        <v>115</v>
      </c>
      <c r="AJ1" s="4" t="s">
        <v>116</v>
      </c>
      <c r="AK1" s="4" t="s">
        <v>117</v>
      </c>
      <c r="AL1" s="4" t="s">
        <v>118</v>
      </c>
      <c r="AM1" s="4" t="s">
        <v>119</v>
      </c>
      <c r="AN1" s="98"/>
      <c r="AO1" s="99" t="str">
        <f>"{undiscounted, discounted}:"</f>
        <v>{undiscounted, discounted}:</v>
      </c>
      <c r="AP1" s="8" t="str" cm="1">
        <f t="array" ref="AP1">IFERROR(_xlfn.LET(_xlpm.x, TRANSPOSE(_xlfn._xlws.FILTER(tbl_Stakeholders[Stakeholder Group], tbl_Stakeholders[Stakeholder Group]&lt;&gt;"")), _xlfn.HSTACK(_xlpm.x&amp;" Undiscounted Impacts", _xlpm.x&amp;" Discounted Impacts")), "")</f>
        <v/>
      </c>
    </row>
    <row r="2" spans="1:43" x14ac:dyDescent="0.25">
      <c r="A2" s="30" t="str" cm="1">
        <f t="array" ref="A2">repeat(Periods, ActivityNumber)</f>
        <v/>
      </c>
      <c r="B2" s="30" t="str" cm="1">
        <f t="array" ref="B2">IFERROR(INDEX(tbl_Activities[Activity],_xlfn.ANCHORARRAY( A2)), "")</f>
        <v/>
      </c>
      <c r="C2" s="30" t="str" cm="1">
        <f t="array" ref="C2">IFERROR(INDEX(tbl_Activities[Administrative or Compliance],_xlfn.ANCHORARRAY( A2)), "")</f>
        <v/>
      </c>
      <c r="D2" s="30" t="str" cm="1">
        <f t="array" ref="D2">IFERROR(INDEX(tbl_Activities[In or Out],_xlfn.ANCHORARRAY( A2)), "")</f>
        <v/>
      </c>
      <c r="E2" s="30" t="str" cm="1">
        <f t="array" ref="E2">IFERROR(
IF(_xlfn.ANCHORARRAY(AA2)="Start of Analytical Period", YearOfRegistration,
IF(_xlfn.ANCHORARRAY(AA2)="End of Analytical Period", YearOfRegistration+Time-1,_xlfn.ANCHORARRAY(
AA2)))
+ROUNDUP(IF(_xlfn.ANCHORARRAY(F2)/_xlfn.ANCHORARRAY(G2)-1&lt;0, 0,_xlfn.ANCHORARRAY( F2)/_xlfn.ANCHORARRAY(G2)-1), 0), "")</f>
        <v/>
      </c>
      <c r="F2" s="30"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31" t="str" cm="1">
        <f t="array" ref="G2">IFERROR(IF(INDEX(tbl_Activities[Upfront or  Ongoing],_xlfn.ANCHORARRAY( A2))="Ongoing", INDEX(tbl_Activities[Annual Frequency],_xlfn.ANCHORARRAY( A2)), 1), "")</f>
        <v/>
      </c>
      <c r="H2" s="30" t="str" cm="1">
        <f t="array" ref="H2">IFERROR(INDEX(tbl_Activities[Affected Stakeholder Group],_xlfn.ANCHORARRAY( A2)), "")</f>
        <v/>
      </c>
      <c r="I2" s="20" t="str" cm="1">
        <f t="array" ref="I2">IFERROR(INDEX(tbl_Activities[Percent Affected],_xlfn.ANCHORARRAY( A2)), "")</f>
        <v/>
      </c>
      <c r="J2" s="7" cm="1">
        <f t="array" ref="J2">_xlfn.MAKEARRAY(OutputRows, 1, _xlfn.LAMBDA(_xlpm.r,_xlpm.c,
IFERROR(IF(INDEX(_xlfn.ANCHORARRAY(AB2), _xlpm.r)="All Businesses", 0, IF(INDEX(_xlfn.ANCHORARRAY(AB2), _xlpm.r)="Med/Large Businesses", 0, IF(INDEX(_xlfn.ANCHORARRAY(AB2), _xlpm.r)="Small Businesses", 0,
INDEX(_xlfn.TAKE(_xlfn.DROP(I:I,MATCH($I$1,I:I,0)),_xlfn.XMATCH(,_xlfn.DROP(I:I,MATCH($I$1,I:I,0)))-1), _xlpm.r)*
IF(AND(INDEX(_xlfn.ANCHORARRAY(AC2), _xlpm.r)=1, INDEX(_xlfn.ANCHORARRAY(H2), _xlpm.r)="All Groups"), SUMPRODUCT(NonBusinessCounts, (1+NonBusinessGrowthRates)^INDEX(_xlfn.ANCHORARRAY(AD2), _xlpm.r)),
IF(AND(INDEX(_xlfn.ANCHORARRAY(AC2), _xlpm.r)=1, NOT(INDEX(_xlfn.ANCHORARRAY(H2), _xlpm.r)="All Groups")), INDEX(_xlfn.ANCHORARRAY(AH2), _xlpm.r)*(1+INDEX(_xlfn.ANCHORARRAY(AI2), _xlpm.r))^INDEX(_xlfn.ANCHORARRAY(AD2), _xlpm.r),
IF(AND(INDEX(_xlfn.ANCHORARRAY(AC2), _xlpm.r)=2, INDEX(_xlfn.ANCHORARRAY(H2), _xlpm.r)="All Groups"), SUMPRODUCT(NonBusinessCounts, (1+NonBusinessGrowthRates)^IF(NonBusinessGrowthRates&lt;0, INDEX(_xlfn.ANCHORARRAY(AD2), _xlpm.r), INDEX(_xlfn.ANCHORARRAY(AE2), _xlpm.r))),
IF(AND(INDEX(_xlfn.ANCHORARRAY(AC2), _xlpm.r)=2, NOT(INDEX(_xlfn.ANCHORARRAY(H2), _xlpm.r)="All Groups")), INDEX(_xlfn.ANCHORARRAY(AH2), _xlpm.r)*(1+INDEX(_xlfn.ANCHORARRAY(AI2), _xlpm.r))^IF(INDEX(_xlfn.ANCHORARRAY(AI2), _xlpm.r)&lt;0, INDEX(_xlfn.ANCHORARRAY(AD2), _xlpm.r), INDEX(_xlfn.ANCHORARRAY(AE2), _xlpm.r)),
IF(AND(INDEX(_xlfn.ANCHORARRAY(AC2), _xlpm.r)=3, INDEX(_xlfn.ANCHORARRAY(H2), _xlpm.r)="All Groups"), SUMPRODUCT(NonBusinessCounts, (1+IF(NonBusinessGrowthRates&lt;0, 0, NonBusinessGrowthRates))^INDEX(_xlfn.ANCHORARRAY(AD2), _xlpm.r)-(1+IF(NonBusinessGrowthRates&lt;0, 0, NonBusinessGrowthRates))^INDEX(_xlfn.ANCHORARRAY(AE2), _xlpm.r)),
IF(AND(INDEX(_xlfn.ANCHORARRAY(AC2), _xlpm.r)=3, NOT(INDEX(_xlfn.ANCHORARRAY(H2), _xlpm.r)="All Groups")), IF(INDEX(_xlfn.ANCHORARRAY(AI2), _xlpm.r)&lt;0, 0, INDEX(_xlfn.ANCHORARRAY(AH2), _xlpm.r)*((1+INDEX(_xlfn.ANCHORARRAY(AI2), _xlpm.r))^INDEX(_xlfn.ANCHORARRAY(AD2), _xlpm.r)-(1+INDEX(_xlfn.ANCHORARRAY(AI2), _xlpm.r))^INDEX(_xlfn.ANCHORARRAY(AE2), _xlpm.r))),
IF(AND(INDEX(_xlfn.ANCHORARRAY(AC2), _xlpm.r)=4, INDEX(_xlfn.ANCHORARRAY(H2), _xlpm.r)="All Groups"), IF(INDEX(_xlfn.ANCHORARRAY(F2), _xlpm.r)=0, SUMPRODUCT(NonBusinessCounts, (1+NonBusinessGrowthRates)^INDEX(_xlfn.ANCHORARRAY(AD2), _xlpm.r)), _xlfn.LET(_xlpm.g, (1+IF(NonBusinessGrowthRates&lt;0, 0, NonBusinessGrowthRates)), SUMPRODUCT(NonBusinessCounts, _xlpm.g^INDEX(_xlfn.ANCHORARRAY(AD2), _xlpm.r)-_xlpm.g^(INDEX(_xlfn.ANCHORARRAY(AD2), _xlpm.r-1))))),
IF(AND(INDEX(_xlfn.ANCHORARRAY(AC2), _xlpm.r)=4, NOT(INDEX(_xlfn.ANCHORARRAY(H2), _xlpm.r)="All Groups")), IF(INDEX(_xlfn.ANCHORARRAY(F2), _xlpm.r)=0, INDEX(_xlfn.ANCHORARRAY(AH2), _xlpm.r)*(1+INDEX(_xlfn.ANCHORARRAY(AI2), _xlpm.r))^INDEX(_xlfn.ANCHORARRAY(AD2), _xlpm.r), IF(INDEX(_xlfn.ANCHORARRAY(AI2), _xlpm.r)&lt;0, 0, INDEX(_xlfn.ANCHORARRAY(AH2), _xlpm.r)*((1+INDEX(_xlfn.ANCHORARRAY(AI2), _xlpm.r))^INDEX(_xlfn.ANCHORARRAY(AD2), _xlpm.r)-(1+INDEX(_xlfn.ANCHORARRAY(AI2), _xlpm.r))^INDEX(_xlfn.ANCHORARRAY(AD2), _xlpm.r-1)))),
IF(AND(INDEX(_xlfn.ANCHORARRAY(AC2), _xlpm.r)=5, INDEX(_xlfn.ANCHORARRAY(H2), _xlpm.r)="All Groups"), IF(INDEX(_xlfn.ANCHORARRAY(F2), _xlpm.r)&gt;0, 0, SUMPRODUCT(NonBusinessCounts, (1+NonBusinessGrowthRates)^INDEX(_xlfn.ANCHORARRAY(AD2), _xlpm.r))),
IF(AND(INDEX(_xlfn.ANCHORARRAY(AC2), _xlpm.r)=5, NOT(INDEX(_xlfn.ANCHORARRAY(H2), _xlpm.r)="All Groups")), IF(INDEX(_xlfn.ANCHORARRAY(F2), _xlpm.r)&gt;0, 0, INDEX(_xlfn.ANCHORARRAY(AH2), _xlpm.r)*(1+INDEX(_xlfn.ANCHORARRAY(AI2), _xlpm.r))^INDEX(_xlfn.ANCHORARRAY(AD2), _xlpm.r)),
IF(AND(INDEX(_xlfn.ANCHORARRAY(AC2), _xlpm.r)=6, INDEX(_xlfn.ANCHORARRAY(H2), _xlpm.r)="All Groups"), IF(INDEX(_xlfn.ANCHORARRAY(F2), _xlpm.r)=0, 0, _xlfn.LET(_xlpm.g, (1+IF(NonBusinessGrowthRates&lt;0, 0, NonBusinessGrowthRates)), SUMPRODUCT(NonBusinessCounts, _xlpm.g^INDEX(_xlfn.ANCHORARRAY(AD2), _xlpm.r)-_xlpm.g^(INDEX(_xlfn.ANCHORARRAY(AD2), _xlpm.r-1))))),
IF(AND(INDEX(_xlfn.ANCHORARRAY(AC2), _xlpm.r)=6, NOT(INDEX(_xlfn.ANCHORARRAY(H2), _xlpm.r)="All Groups")), IF(INDEX(_xlfn.ANCHORARRAY(F2), _xlpm.r)=0, 0, IF(INDEX(_xlfn.ANCHORARRAY(AI2), _xlpm.r)&lt;0, 0, INDEX(_xlfn.ANCHORARRAY(AH2), _xlpm.r)*((1+INDEX(_xlfn.ANCHORARRAY(AI2), _xlpm.r))^INDEX(_xlfn.ANCHORARRAY(AD2), _xlpm.r)-(1+INDEX(_xlfn.ANCHORARRAY(AI2), _xlpm.r))^INDEX(_xlfn.ANCHORARRAY(AD2), _xlpm.r-1)))),
0))))))))))))))), 0)))</f>
        <v>0</v>
      </c>
      <c r="K2" s="7" cm="1">
        <f t="array" ref="K2">_xlfn.MAKEARRAY(OutputRows, 1, _xlfn.LAMBDA(_xlpm.r,_xlpm.c,
IFERROR(IF(INDEX(_xlfn.ANCHORARRAY(AB2), _xlpm.r)="Med/Large Businesses", 0, IF(INDEX(_xlfn.ANCHORARRAY(AB2), _xlpm.r)="All Non-Businesses", 0,
INDEX(_xlfn.TAKE(_xlfn.DROP(I:I,MATCH($I$1,I:I,0)),_xlfn.XMATCH(,_xlfn.DROP(I:I,MATCH($I$1,I:I,0)))-1), _xlpm.r)*
IF(AND(INDEX(_xlfn.ANCHORARRAY(AC2), _xlpm.r)=1, INDEX(_xlfn.ANCHORARRAY(H2), _xlpm.r)="All Groups"), SUMPRODUCT(SmallBusinessCounts, (1+SmallBusinessGrowthRates)^INDEX(_xlfn.ANCHORARRAY(AD2), _xlpm.r)),
IF(AND(INDEX(_xlfn.ANCHORARRAY(AC2), _xlpm.r)=1, NOT(INDEX(_xlfn.ANCHORARRAY(H2), _xlpm.r)="All Groups")), INDEX(_xlfn.ANCHORARRAY(AJ2), _xlpm.r)*(1+INDEX(_xlfn.ANCHORARRAY(AK2), _xlpm.r))^INDEX(_xlfn.ANCHORARRAY(AD2), _xlpm.r),
IF(AND(INDEX(_xlfn.ANCHORARRAY(AC2), _xlpm.r)=2, INDEX(_xlfn.ANCHORARRAY(H2), _xlpm.r)="All Groups"), SUMPRODUCT(SmallBusinessCounts, (1+SmallBusinessGrowthRates)^IF(SmallBusinessGrowthRates&lt;0, INDEX(_xlfn.ANCHORARRAY(AD2), _xlpm.r), INDEX(_xlfn.ANCHORARRAY(AE2), _xlpm.r))),
IF(AND(INDEX(_xlfn.ANCHORARRAY(AC2), _xlpm.r)=2, NOT(INDEX(_xlfn.ANCHORARRAY(H2), _xlpm.r)="All Groups")), INDEX(_xlfn.ANCHORARRAY(AJ2), _xlpm.r)*(1+INDEX(_xlfn.ANCHORARRAY(AK2), _xlpm.r))^IF(INDEX(_xlfn.ANCHORARRAY(AK2), _xlpm.r)&lt;0, INDEX(_xlfn.ANCHORARRAY(AD2), _xlpm.r), INDEX(_xlfn.ANCHORARRAY(AE2), _xlpm.r)),
IF(AND(INDEX(_xlfn.ANCHORARRAY(AC2), _xlpm.r)=3, INDEX(_xlfn.ANCHORARRAY(H2), _xlpm.r)="All Groups"), SUMPRODUCT(SmallBusinessCounts, (1+IF(SmallBusinessGrowthRates&lt;0, 0, SmallBusinessGrowthRates))^INDEX(_xlfn.ANCHORARRAY(AD2), _xlpm.r)-(1+IF(SmallBusinessGrowthRates&lt;0, 0, SmallBusinessGrowthRates))^INDEX(_xlfn.ANCHORARRAY(AE2), _xlpm.r)),
IF(AND(INDEX(_xlfn.ANCHORARRAY(AC2), _xlpm.r)=3, NOT(INDEX(_xlfn.ANCHORARRAY(H2), _xlpm.r)="All Groups")), IF(INDEX(_xlfn.ANCHORARRAY(AK2), _xlpm.r)&lt;0, 0, INDEX(_xlfn.ANCHORARRAY(AJ2), _xlpm.r)*((1+INDEX(_xlfn.ANCHORARRAY(AK2), _xlpm.r))^INDEX(_xlfn.ANCHORARRAY(AD2), _xlpm.r)-(1+INDEX(_xlfn.ANCHORARRAY(AK2), _xlpm.r))^INDEX(_xlfn.ANCHORARRAY(AE2), _xlpm.r))),
IF(AND(INDEX(_xlfn.ANCHORARRAY(AC2), _xlpm.r)=4, INDEX(_xlfn.ANCHORARRAY(H2), _xlpm.r)="All Groups"), IF(INDEX(_xlfn.ANCHORARRAY(F2), _xlpm.r)=0, SUMPRODUCT(SmallBusinessCounts, (1+SmallBusinessGrowthRates)^INDEX(_xlfn.ANCHORARRAY(AD2), _xlpm.r)), _xlfn.LET(_xlpm.g, (1+IF(SmallBusinessGrowthRates&lt;0, 0, SmallBusinessGrowthRates)), SUMPRODUCT(SmallBusinessCounts, _xlpm.g^INDEX(_xlfn.ANCHORARRAY(AD2), _xlpm.r)-_xlpm.g^(INDEX(_xlfn.ANCHORARRAY(AD2), _xlpm.r-1))))),
IF(AND(INDEX(_xlfn.ANCHORARRAY(AC2), _xlpm.r)=4, NOT(INDEX(_xlfn.ANCHORARRAY(H2), _xlpm.r)="All Groups")), IF(INDEX(_xlfn.ANCHORARRAY(F2), _xlpm.r)=0, INDEX(_xlfn.ANCHORARRAY(AJ2), _xlpm.r)*(1+INDEX(_xlfn.ANCHORARRAY(AK2), _xlpm.r))^INDEX(_xlfn.ANCHORARRAY(AD2), _xlpm.r), IF(INDEX(_xlfn.ANCHORARRAY(AK2), _xlpm.r)&lt;0, 0, INDEX(_xlfn.ANCHORARRAY(AJ2), _xlpm.r)*((1+INDEX(_xlfn.ANCHORARRAY(AK2), _xlpm.r))^INDEX(_xlfn.ANCHORARRAY(AD2), _xlpm.r)-(1+INDEX(_xlfn.ANCHORARRAY(AK2), _xlpm.r))^INDEX(_xlfn.ANCHORARRAY(AD2), _xlpm.r-1)))),
IF(AND(INDEX(_xlfn.ANCHORARRAY(AC2), _xlpm.r)=5, INDEX(_xlfn.ANCHORARRAY(H2), _xlpm.r)="All Groups"), IF(INDEX(_xlfn.ANCHORARRAY(F2), _xlpm.r)&gt;0, 0, SUMPRODUCT(SmallBusinessCounts, (1+SmallBusinessGrowthRates)^INDEX(_xlfn.ANCHORARRAY(AD2), _xlpm.r))),
IF(AND(INDEX(_xlfn.ANCHORARRAY(AC2), _xlpm.r)=5, NOT(INDEX(_xlfn.ANCHORARRAY(H2), _xlpm.r)="All Groups")), IF(INDEX(_xlfn.ANCHORARRAY(F2), _xlpm.r)&gt;0, 0, INDEX(_xlfn.ANCHORARRAY(AJ2), _xlpm.r)*(1+INDEX(_xlfn.ANCHORARRAY(AK2), _xlpm.r))^INDEX(_xlfn.ANCHORARRAY(AD2), _xlpm.r)),
IF(AND(INDEX(_xlfn.ANCHORARRAY(AC2), _xlpm.r)=6, INDEX(_xlfn.ANCHORARRAY(H2), _xlpm.r)="All Groups"), IF(INDEX(_xlfn.ANCHORARRAY(F2), _xlpm.r)=0, 0, _xlfn.LET(_xlpm.g, (1+IF(SmallBusinessGrowthRates&lt;0, 0, SmallBusinessGrowthRates)), SUMPRODUCT(SmallBusinessCounts, _xlpm.g^INDEX(_xlfn.ANCHORARRAY(AD2), _xlpm.r)-_xlpm.g^(INDEX(_xlfn.ANCHORARRAY(AD2), _xlpm.r-1))))),
IF(AND(INDEX(_xlfn.ANCHORARRAY(AC2), _xlpm.r)=6, NOT(INDEX(_xlfn.ANCHORARRAY(H2), _xlpm.r)="All Groups")), IF(INDEX(_xlfn.ANCHORARRAY(F2), _xlpm.r)=0, 0, IF(INDEX(_xlfn.ANCHORARRAY(AK2), _xlpm.r)&lt;0, 0, INDEX(_xlfn.ANCHORARRAY(AJ2), _xlpm.r)*((1+INDEX(_xlfn.ANCHORARRAY(AK2), _xlpm.r))^INDEX(_xlfn.ANCHORARRAY(AD2), _xlpm.r)-(1+INDEX(_xlfn.ANCHORARRAY(AK2), _xlpm.r))^INDEX(_xlfn.ANCHORARRAY(AD2), _xlpm.r-1)))),
0)))))))))))))), 0)))</f>
        <v>0</v>
      </c>
      <c r="L2" cm="1">
        <f t="array" ref="L2">_xlfn.MAKEARRAY(OutputRows, 1, _xlfn.LAMBDA(_xlpm.r,_xlpm.c,
IFERROR(IF(INDEX(_xlfn.ANCHORARRAY(AB2), _xlpm.r)="Small Businesses", 0, IF(INDEX(_xlfn.ANCHORARRAY(AB2), _xlpm.r)="All Non-Businesses", 0,
INDEX(_xlfn.TAKE(_xlfn.DROP(I:I,MATCH($I$1,I:I,0)),_xlfn.XMATCH(,_xlfn.DROP(I:I,MATCH($I$1,I:I,0)))-1), _xlpm.r)*
IF(AND(INDEX(_xlfn.ANCHORARRAY(AC2), _xlpm.r)=1, INDEX(_xlfn.ANCHORARRAY(H2), _xlpm.r)="All Groups"), SUMPRODUCT(MedLargeBusinessCounts, (1+MedLargeBusinessGrowthRates)^INDEX(_xlfn.ANCHORARRAY(AD2), _xlpm.r)),
IF(AND(INDEX(_xlfn.ANCHORARRAY(AC2), _xlpm.r)=1, NOT(INDEX(_xlfn.ANCHORARRAY(H2), _xlpm.r)="All Groups")), INDEX(_xlfn.ANCHORARRAY(AL2), _xlpm.r)*(1+INDEX(_xlfn.ANCHORARRAY(AM2), _xlpm.r))^INDEX(_xlfn.ANCHORARRAY(AD2), _xlpm.r),
IF(AND(INDEX(_xlfn.ANCHORARRAY(AC2), _xlpm.r)=2, INDEX(_xlfn.ANCHORARRAY(H2), _xlpm.r)="All Groups"), SUMPRODUCT(MedLargeBusinessCounts, (1+MedLargeBusinessGrowthRates)^IF(MedLargeBusinessGrowthRates&lt;0, INDEX(_xlfn.ANCHORARRAY(AD2), _xlpm.r), INDEX(_xlfn.ANCHORARRAY(AE2), _xlpm.r))),
IF(AND(INDEX(_xlfn.ANCHORARRAY(AC2), _xlpm.r)=2, NOT(INDEX(_xlfn.ANCHORARRAY(H2), _xlpm.r)="All Groups")), INDEX(_xlfn.ANCHORARRAY(AL2), _xlpm.r)*(1+INDEX(_xlfn.ANCHORARRAY(AM2), _xlpm.r))^IF(INDEX(_xlfn.ANCHORARRAY(AM2), _xlpm.r)&lt;0, INDEX(_xlfn.ANCHORARRAY(AD2), _xlpm.r), INDEX(_xlfn.ANCHORARRAY(AE2), _xlpm.r)),
IF(AND(INDEX(_xlfn.ANCHORARRAY(AC2), _xlpm.r)=3, INDEX(_xlfn.ANCHORARRAY(H2), _xlpm.r)="All Groups"), SUMPRODUCT(MedLargeBusinessCounts, (1+IF(MedLargeBusinessGrowthRates&lt;0, 0, MedLargeBusinessGrowthRates))^INDEX(_xlfn.ANCHORARRAY(AD2), _xlpm.r)-(1+IF(MedLargeBusinessGrowthRates&lt;0, 0, MedLargeBusinessGrowthRates))^INDEX(_xlfn.ANCHORARRAY(AE2), _xlpm.r)),
IF(AND(INDEX(_xlfn.ANCHORARRAY(AC2), _xlpm.r)=3, NOT(INDEX(_xlfn.ANCHORARRAY(H2), _xlpm.r)="All Groups")), IF(INDEX(_xlfn.ANCHORARRAY(AM2), _xlpm.r)&lt;0, 0, INDEX(_xlfn.ANCHORARRAY(AL2), _xlpm.r)*((1+INDEX(_xlfn.ANCHORARRAY(AM2), _xlpm.r))^INDEX(_xlfn.ANCHORARRAY(AD2), _xlpm.r)-(1+INDEX(_xlfn.ANCHORARRAY(AM2), _xlpm.r))^INDEX(_xlfn.ANCHORARRAY(AE2), _xlpm.r))),
IF(AND(INDEX(_xlfn.ANCHORARRAY(AC2), _xlpm.r)=4, INDEX(_xlfn.ANCHORARRAY(H2), _xlpm.r)="All Groups"), IF(INDEX(_xlfn.ANCHORARRAY(F2), _xlpm.r)=0, SUMPRODUCT(MedLargeBusinessCounts, (1+MedLargeBusinessGrowthRates)^INDEX(_xlfn.ANCHORARRAY(AD2), _xlpm.r)), _xlfn.LET(_xlpm.g, (1+IF(MedLargeBusinessGrowthRates&lt;0, 0, MedLargeBusinessGrowthRates)), SUMPRODUCT(MedLargeBusinessCounts, _xlpm.g^INDEX(_xlfn.ANCHORARRAY(AD2), _xlpm.r)-_xlpm.g^(INDEX(_xlfn.ANCHORARRAY(AD2), _xlpm.r-1))))),
IF(AND(INDEX(_xlfn.ANCHORARRAY(AC2), _xlpm.r)=4, NOT(INDEX(_xlfn.ANCHORARRAY(H2), _xlpm.r)="All Groups")), IF(INDEX(_xlfn.ANCHORARRAY(F2), _xlpm.r)=0, INDEX(_xlfn.ANCHORARRAY(AL2), _xlpm.r)*(1+INDEX(_xlfn.ANCHORARRAY(AM2), _xlpm.r))^INDEX(_xlfn.ANCHORARRAY(AD2), _xlpm.r), IF(INDEX(_xlfn.ANCHORARRAY(AM2), _xlpm.r)&lt;0, 0, INDEX(_xlfn.ANCHORARRAY(AL2), _xlpm.r)*((1+INDEX(_xlfn.ANCHORARRAY(AM2), _xlpm.r))^INDEX(_xlfn.ANCHORARRAY(AD2), _xlpm.r)-(1+INDEX(_xlfn.ANCHORARRAY(AM2), _xlpm.r))^INDEX(_xlfn.ANCHORARRAY(AD2), _xlpm.r-1)))),
IF(AND(INDEX(_xlfn.ANCHORARRAY(AC2), _xlpm.r)=5, INDEX(_xlfn.ANCHORARRAY(H2), _xlpm.r)="All Groups"), IF(INDEX(_xlfn.ANCHORARRAY(F2), _xlpm.r)&gt;0, 0, SUMPRODUCT(MedLargeBusinessCounts, (1+MedLargeBusinessGrowthRates)^INDEX(_xlfn.ANCHORARRAY(AD2), _xlpm.r))),
IF(AND(INDEX(_xlfn.ANCHORARRAY(AC2), _xlpm.r)=5, NOT(INDEX(_xlfn.ANCHORARRAY(H2), _xlpm.r)="All Groups")), IF(INDEX(_xlfn.ANCHORARRAY(F2), _xlpm.r)&gt;0, 0, INDEX(_xlfn.ANCHORARRAY(AL2), _xlpm.r)*(1+INDEX(_xlfn.ANCHORARRAY(AM2), _xlpm.r))^INDEX(_xlfn.ANCHORARRAY(AD2), _xlpm.r)),
IF(AND(INDEX(_xlfn.ANCHORARRAY(AC2), _xlpm.r)=6, INDEX(_xlfn.ANCHORARRAY(H2), _xlpm.r)="All Groups"), IF(INDEX(_xlfn.ANCHORARRAY(F2), _xlpm.r)=0, 0, _xlfn.LET(_xlpm.g, (1+IF(MedLargeBusinessGrowthRates&lt;0, 0, MedLargeBusinessGrowthRates)), SUMPRODUCT(MedLargeBusinessCounts, _xlpm.g^INDEX(_xlfn.ANCHORARRAY(AD2), _xlpm.r)-_xlpm.g^(INDEX(_xlfn.ANCHORARRAY(AD2), _xlpm.r-1))))),
IF(AND(INDEX(_xlfn.ANCHORARRAY(AC2), _xlpm.r)=6, NOT(INDEX(_xlfn.ANCHORARRAY(H2), _xlpm.r)="All Groups")), IF(INDEX(_xlfn.ANCHORARRAY(F2), _xlpm.r)=0, 0, IF(INDEX(_xlfn.ANCHORARRAY(AM2), _xlpm.r)&lt;0, 0, INDEX(_xlfn.ANCHORARRAY(AL2), _xlpm.r)*((1+INDEX(_xlfn.ANCHORARRAY(AM2), _xlpm.r))^INDEX(_xlfn.ANCHORARRAY(AD2), _xlpm.r)-(1+INDEX(_xlfn.ANCHORARRAY(AM2), _xlpm.r))^INDEX(_xlfn.ANCHORARRAY(AD2), _xlpm.r-1)))),
0)))))))))))))), 0)))</f>
        <v>0</v>
      </c>
      <c r="M2" s="5"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(Wage Without Overhead)],_xlfn.ANCHORARRAY(A2)), 2),
     _xlpm.StaffWage,_xlfn.XLOOKUP(_xlpm.StaffLevel,LEFT(_xlfn.ANCHORARRAY(Controls!I2), 2),_xlfn.ANCHORARRAY(Controls!J2),"Error3",0,1),
     _xlpm.InOut,IF(INDEX(tbl_Activities[In or Out],_xlfn.ANCHORARRAY( A2))="In",1,-1),
_xlpm.InOut*IF(_xlpm.CapitalLabour="Labour",_xlpm.StaffWage*(1+_xlpm.InternalExternal)*INDEX(tbl_Activities[Labour: Time Spent (hours)],_xlfn.ANCHORARRAY(A2)),INDEX(tbl_Activities[Capital: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5" cm="1">
        <f t="array" ref="N2">_xlfn.LET(
     _xlpm.AffectedNonBusinesses, _xlfn.TAKE(_xlfn.DROP(J:J,MATCH(J$1,J:J,0)),_xlfn.XMATCH(,_xlfn.DROP(J:J,MATCH(J$1,J:J,0)))-1),
IFERROR(_xlfn.ANCHORARRAY(M2)*_xlpm.AffectedNonBusinesses, ""))</f>
        <v>0</v>
      </c>
      <c r="O2" s="5" cm="1">
        <f t="array" ref="O2">_xlfn.LET(
     _xlpm.AffectedSmallBusinesses, _xlfn.TAKE(_xlfn.DROP(K:K,MATCH(K$1,K:K,0)),_xlfn.XMATCH(,_xlfn.DROP(K:K,MATCH(K$1,K:K,0)))-1),
IFERROR(_xlfn.ANCHORARRAY(M2)*_xlpm.AffectedSmallBusinesses, ""))</f>
        <v>0</v>
      </c>
      <c r="P2" s="5" cm="1">
        <f t="array" ref="P2">_xlfn.LET(
     _xlpm.AffectedMedLargeBusinesses, _xlfn.TAKE(_xlfn.DROP(L:L,MATCH(L$1,L:L,0)),_xlfn.XMATCH(,_xlfn.DROP(L:L,MATCH(L$1,L:L,0)))-1),
IFERROR(_xlfn.ANCHORARRAY(M2)*_xlpm.AffectedMedLargeBusinesses, ""))</f>
        <v>0</v>
      </c>
      <c r="Q2" s="5" cm="1">
        <f t="array" ref="Q2">IFERROR(_xlfn.ANCHORARRAY($O$2)+_xlfn.ANCHORARRAY($P$2),0)</f>
        <v>0</v>
      </c>
      <c r="R2" s="5" cm="1">
        <f t="array" ref="R2">IFERROR(_xlfn.ANCHORARRAY($Q$2)+_xlfn.ANCHORARRAY($N$2), 0)</f>
        <v>0</v>
      </c>
      <c r="S2" s="5" cm="1">
        <f t="array" ref="S2">IFERROR(_xlfn.ANCHORARRAY($N$2)/(1+Discount)^_xlfn.ANCHORARRAY($AF$2),0)</f>
        <v>0</v>
      </c>
      <c r="T2" s="5" cm="1">
        <f t="array" ref="T2">IFERROR(_xlfn.ANCHORARRAY($O$2)/(1+Discount)^_xlfn.ANCHORARRAY($AF$2),0)</f>
        <v>0</v>
      </c>
      <c r="U2" s="5" cm="1">
        <f t="array" ref="U2">IFERROR(_xlfn.ANCHORARRAY(P2)/(1+Discount)^_xlfn.ANCHORARRAY($AF$2),0)</f>
        <v>0</v>
      </c>
      <c r="V2" s="5" cm="1">
        <f t="array" ref="V2">IFERROR(_xlfn.ANCHORARRAY($T$2)+_xlfn.ANCHORARRAY($U$2), 0)</f>
        <v>0</v>
      </c>
      <c r="W2" s="5" cm="1">
        <f t="array" ref="W2">IFERROR(_xlfn.ANCHORARRAY($V$2)+_xlfn.ANCHORARRAY($S$2), 0)</f>
        <v>0</v>
      </c>
      <c r="X2" s="5" cm="1">
        <f t="array" ref="X2">IFERROR(--(_xlfn.ANCHORARRAY($C$2)="Administrative")*(_xlfn.ANCHORARRAY($O$2)+_xlfn.ANCHORARRAY($P$2))/(1.07)^_xlfn.ANCHORARRAY($AF$2), 0)</f>
        <v>0</v>
      </c>
      <c r="Y2" s="3"/>
      <c r="AA2" s="30" t="str" cm="1">
        <f t="array" ref="AA2">IFERROR(INDEX(tbl_Activities[Start Year],_xlfn.ANCHORARRAY( $A$2)), "")</f>
        <v/>
      </c>
      <c r="AB2" t="str" cm="1">
        <f t="array" ref="AB2">IFERROR(INDEX(tbl_Activities[Affected Stakeholder Type],_xlfn.ANCHORARRAY( A2)), "")</f>
        <v/>
      </c>
      <c r="AC2" t="str" cm="1">
        <f t="array" ref="AC2">IFERROR(INDEX(ActivityType,_xlfn.ANCHORARRAY( A2)), "")</f>
        <v/>
      </c>
      <c r="AD2" t="str" cm="1">
        <f t="array" ref="AD2">IFERROR(
IF(_xlfn.ANCHORARRAY(AA2)="Start of Analytical Period",_xlfn.ANCHORARRAY( F2)/_xlfn.ANCHORARRAY(G2),
IF(_xlfn.ANCHORARRAY(AA2)="End of Analytical Period",Time-1+_xlfn.ANCHORARRAY(F2)/_xlfn.ANCHORARRAY(G2),_xlfn.ANCHORARRAY(
AA2)-YearOfRegistration+_xlfn.ANCHORARRAY(F2)/_xlfn.ANCHORARRAY(G2))),
"")</f>
        <v/>
      </c>
      <c r="AE2" t="str" cm="1">
        <f t="array" ref="AE2">IFERROR(
IF(_xlfn.ANCHORARRAY(AA2)="Start of Analytical Period", 0,
IF(_xlfn.ANCHORARRAY(AA2)="End of Analytical Period", Time-1,_xlfn.ANCHORARRAY(
AA2)-YearOfRegistration)),
"")</f>
        <v/>
      </c>
      <c r="AF2" t="str" cm="1">
        <f t="array" ref="AF2">IFERROR(
IF(_xlfn.ANCHORARRAY(AA2)="Start of Analytical Period", (YearOfRegistration-PVBaseYear)+_xlfn.ANCHORARRAY($F$2)/_xlfn.ANCHORARRAY($G$2),
IF(_xlfn.ANCHORARRAY(AA2)="End of Analytical Period", (YearOfRegistration-PVBaseYear)+Time-1+_xlfn.ANCHORARRAY($F$2)/_xlfn.ANCHORARRAY($G$2),_xlfn.ANCHORARRAY(
AA2)-PVBaseYear+_xlfn.ANCHORARRAY($F$2)/_xlfn.ANCHORARRAY($G$2))),
"")</f>
        <v/>
      </c>
      <c r="AG2" t="str" cm="1">
        <f t="array" ref="AG2">IFERROR(MATCH(INDEX(tbl_Activities[Affected Stakeholder Group],_xlfn.ANCHORARRAY( 'Full Output'!$A$2)), _xlfn._xlws.FILTER(tbl_Stakeholders[Stakeholder Group], tbl_Stakeholders[Stakeholder Group]&lt;&gt;""), 0), "")</f>
        <v/>
      </c>
      <c r="AH2" t="str" cm="1">
        <f t="array" ref="AH2">IFERROR(INDEX(NonBusinessCounts,_xlfn.ANCHORARRAY( AG2)), "")</f>
        <v/>
      </c>
      <c r="AI2" t="str" cm="1">
        <f t="array" ref="AI2">IFERROR(INDEX(NonBusinessGrowthRates,_xlfn.ANCHORARRAY( AG2)), "")</f>
        <v/>
      </c>
      <c r="AJ2" t="str" cm="1">
        <f t="array" ref="AJ2">IFERROR(INDEX(SmallBusinessCounts,_xlfn.ANCHORARRAY( AG2)), "")</f>
        <v/>
      </c>
      <c r="AK2" t="str" cm="1">
        <f t="array" ref="AK2">IFERROR(INDEX(SmallBusinessGrowthRates,_xlfn.ANCHORARRAY( AG2)), "")</f>
        <v/>
      </c>
      <c r="AL2" t="str" cm="1">
        <f t="array" ref="AL2">IFERROR(INDEX(MedLargeBusinessCounts,_xlfn.ANCHORARRAY( AG2)), "")</f>
        <v/>
      </c>
      <c r="AM2" t="str" cm="1">
        <f t="array" ref="AM2">IFERROR(INDEX(MedLargeBusinessGrowthRates,_xlfn.ANCHORARRAY( AG2)), "")</f>
        <v/>
      </c>
      <c r="AP2" cm="1">
        <f t="array" ref="AP2:AQ2">IFERROR(_xlfn.LET(
_xlpm.nonbusinesscosts_undiscounted, _xlfn.MAKEARRAY(OutputRows,StakeholderCols,_xlfn.LAMBDA(_xlpm.r,_xlpm.c, _xlfn.LET(_xlpm.AllGroups, INDEX(_xlfn.ANCHORARRAY(H2), _xlpm.r)="All Groups", _xlpm.ThisGroup, IF(_xlpm.c=INDEX(_xlfn.ANCHORARRAY(AG2), _xlpm.r), INDEX(_xlfn.ANCHORARRAY(J2), _xlpm.r), 0),
IF(INDEX(_xlfn.ANCHORARRAY(AB2), _xlpm.r)="Med/Large Businesses", 0, IF(INDEX(_xlfn.ANCHORARRAY(AB2), _xlpm.r)="All Businesses", 0, IF(INDEX(_xlfn.ANCHORARRAY(AB2), _xlpm.r)="Small Businesses", 0,
INDEX(_xlfn.ANCHORARRAY(M2), _xlpm.r)*
IF(INDEX(_xlfn.ANCHORARRAY(AC2),_xlpm.r)=1, IF(_xlpm.AllGroups, INDEX(_xlfn.ANCHORARRAY(I2), _xlpm.r)*INDEX(NonBusinessCounts,_xlpm.c)*(1+INDEX(NonBusinessGrowthRates, _xlpm.c))^INDEX(_xlfn.ANCHORARRAY(AD2), _xlpm.r), _xlpm.ThisGroup),
IF(INDEX(_xlfn.ANCHORARRAY(AC2),_xlpm.r)=2, IF(_xlpm.AllGroups, INDEX(_xlfn.ANCHORARRAY(I2), _xlpm.r)*INDEX(NonBusinessCounts, _xlpm.c)*(1+INDEX(NonBusinessGrowthRates, _xlpm.c))^IF(INDEX(NonBusinessGrowthRates, _xlpm.c)&lt;0, INDEX(_xlfn.ANCHORARRAY(AD2), _xlpm.r), INDEX(_xlfn.ANCHORARRAY(AE2), _xlpm.r)), _xlpm.ThisGroup),
IF(INDEX(_xlfn.ANCHORARRAY(AC2),_xlpm.r)=3, IF(_xlpm.AllGroups, INDEX(_xlfn.ANCHORARRAY(I2), _xlpm.r)*INDEX(NonBusinessCounts, _xlpm.c)*((1+MAX(INDEX(NonBusinessGrowthRates, _xlpm.c), 0))^INDEX(_xlfn.ANCHORARRAY(AD2), _xlpm.r)-(1+MAX(INDEX(NonBusinessGrowthRates, _xlpm.c), 0))^INDEX(_xlfn.ANCHORARRAY(AE2), _xlpm.r)), _xlpm.ThisGroup),
IF(INDEX(_xlfn.ANCHORARRAY(AC2),_xlpm.r)=4, IF(_xlpm.AllGroups, INDEX(_xlfn.ANCHORARRAY(I2), _xlpm.r)*IF(INDEX(_xlfn.ANCHORARRAY(F2),_xlpm.r)=0, INDEX(NonBusinessCounts, _xlpm.c)*(1+INDEX(NonBusinessGrowthRates, _xlpm.c))^INDEX(_xlfn.ANCHORARRAY(AD2), _xlpm.r), INDEX(NonBusinessCounts, _xlpm.c)*(((1+MAX(INDEX(NonBusinessGrowthRates, _xlpm.c), 0))^INDEX(_xlfn.ANCHORARRAY(AD2), _xlpm.r))-(1+MAX(INDEX(NonBusinessGrowthRates, _xlpm.c), 0))^INDEX(_xlfn.ANCHORARRAY(AD2), _xlpm.r-1))), _xlpm.ThisGroup),
IF(INDEX(_xlfn.ANCHORARRAY(AC2),_xlpm.r)=5, IF(_xlpm.AllGroups, INDEX(_xlfn.ANCHORARRAY(I2), _xlpm.r)*IF(INDEX(_xlfn.ANCHORARRAY(F2),_xlpm.r)=0, INDEX(NonBusinessCounts, _xlpm.c)*(1+INDEX(NonBusinessGrowthRates, _xlpm.c))^INDEX(_xlfn.ANCHORARRAY(AD2), _xlpm.r), 0), _xlpm.ThisGroup),
IF(INDEX(_xlfn.ANCHORARRAY(AC2),_xlpm.r)=6, IF(_xlpm.AllGroups, INDEX(_xlfn.ANCHORARRAY(I2), _xlpm.r)*IF(INDEX(_xlfn.ANCHORARRAY(F2), _xlpm.r)=0, 0, INDEX(NonBusinessCounts, _xlpm.c)*(((1+MAX(INDEX(NonBusinessGrowthRates, _xlpm.c), 0))^INDEX(_xlfn.ANCHORARRAY(AD2), _xlpm.r))-(1+MAX(INDEX(NonBusinessGrowthRates, _xlpm.c), 0))^INDEX(_xlfn.ANCHORARRAY(AD2), _xlpm.r-1))), _xlpm.ThisGroup),
0)))))))))))),
_xlpm.smallbusinesscosts_undiscounted, _xlfn.MAKEARRAY(OutputRows,StakeholderCols,_xlfn.LAMBDA(_xlpm.r,_xlpm.c, _xlfn.LET(_xlpm.AllGroups, INDEX(_xlfn.ANCHORARRAY(H2), _xlpm.r)="All Groups", _xlpm.ThisGroup, IF(_xlpm.c=INDEX(_xlfn.ANCHORARRAY(AG2), _xlpm.r), INDEX(_xlfn.ANCHORARRAY(K2), _xlpm.r), 0),
IF(INDEX(_xlfn.ANCHORARRAY(AB2), _xlpm.r)="Med/Large Businesses", 0, IF(INDEX(_xlfn.ANCHORARRAY(AB2), _xlpm.r)="All Non-Businesses", 0,
INDEX(_xlfn.ANCHORARRAY(M2), _xlpm.r)*
IF(INDEX(_xlfn.ANCHORARRAY(AC2),_xlpm.r)=1, IF(_xlpm.AllGroups, INDEX(_xlfn.ANCHORARRAY(I2), _xlpm.r)*INDEX(SmallBusinessCounts,_xlpm.c)*(1+INDEX(SmallBusinessGrowthRates, _xlpm.c))^INDEX(_xlfn.ANCHORARRAY(AD2), _xlpm.r), _xlpm.ThisGroup),
IF(INDEX(_xlfn.ANCHORARRAY(AC2),_xlpm.r)=2, IF(_xlpm.AllGroups, INDEX(_xlfn.ANCHORARRAY(I2), _xlpm.r)*INDEX(SmallBusinessCounts, _xlpm.c)*(1+INDEX(SmallBusinessGrowthRates, _xlpm.c))^IF(INDEX(SmallBusinessGrowthRates, _xlpm.c)&lt;0, INDEX(_xlfn.ANCHORARRAY(AD2), _xlpm.r), INDEX(_xlfn.ANCHORARRAY(AE2), _xlpm.r)), _xlpm.ThisGroup),
IF(INDEX(_xlfn.ANCHORARRAY(AC2),_xlpm.r)=3, IF(_xlpm.AllGroups, INDEX(_xlfn.ANCHORARRAY(I2), _xlpm.r)*INDEX(SmallBusinessCounts, _xlpm.c)*((1+MAX(INDEX(SmallBusinessGrowthRates, _xlpm.c), 0))^INDEX(_xlfn.ANCHORARRAY(AD2), _xlpm.r)-(1+MAX(INDEX(SmallBusinessGrowthRates, _xlpm.c), 0))^INDEX(_xlfn.ANCHORARRAY(AE2), _xlpm.r)), _xlpm.ThisGroup),
IF(INDEX(_xlfn.ANCHORARRAY(AC2),_xlpm.r)=4, IF(_xlpm.AllGroups, INDEX(_xlfn.ANCHORARRAY(I2), _xlpm.r)*IF(INDEX(_xlfn.ANCHORARRAY(F2),_xlpm.r)=0, INDEX(SmallBusinessCounts, _xlpm.c)*(1+INDEX(SmallBusinessGrowthRates, _xlpm.c))^INDEX(_xlfn.ANCHORARRAY(AD2), _xlpm.r), INDEX(SmallBusinessCounts, _xlpm.c)*(((1+MAX(INDEX(SmallBusinessGrowthRates, _xlpm.c), 0))^INDEX(_xlfn.ANCHORARRAY(AD2), _xlpm.r))-(1+MAX(INDEX(SmallBusinessGrowthRates, _xlpm.c), 0))^INDEX(_xlfn.ANCHORARRAY(AD2), _xlpm.r-1))), _xlpm.ThisGroup),
IF(INDEX(_xlfn.ANCHORARRAY(AC2),_xlpm.r)=5, IF(_xlpm.AllGroups, INDEX(_xlfn.ANCHORARRAY(I2), _xlpm.r)*IF(INDEX(_xlfn.ANCHORARRAY(F2),_xlpm.r)=0, INDEX(SmallBusinessCounts, _xlpm.c)*(1+INDEX(SmallBusinessGrowthRates, _xlpm.c))^INDEX(_xlfn.ANCHORARRAY(AD2), _xlpm.r), 0), _xlpm.ThisGroup),
IF(INDEX(_xlfn.ANCHORARRAY(AC2),_xlpm.r)=6, IF(_xlpm.AllGroups, INDEX(_xlfn.ANCHORARRAY(I2), _xlpm.r)*IF(INDEX(_xlfn.ANCHORARRAY(F2), _xlpm.r)=0, 0, INDEX(SmallBusinessCounts, _xlpm.c)*(((1+MAX(INDEX(SmallBusinessGrowthRates, _xlpm.c), 0))^INDEX(_xlfn.ANCHORARRAY(AD2), _xlpm.r))-(1+MAX(INDEX(SmallBusinessGrowthRates, _xlpm.c), 0))^INDEX(_xlfn.ANCHORARRAY(AD2), _xlpm.r-1))), _xlpm.ThisGroup),
0))))))))))),
_xlpm.medlargebusinesscosts_undiscounted, _xlfn.MAKEARRAY(OutputRows,StakeholderCols,_xlfn.LAMBDA(_xlpm.r,_xlpm.c, _xlfn.LET(_xlpm.AllGroups, INDEX(_xlfn.ANCHORARRAY(H2), _xlpm.r)="All Groups", _xlpm.ThisGroup, IF(_xlpm.c=INDEX(_xlfn.ANCHORARRAY(AG2), _xlpm.r), INDEX(_xlfn.ANCHORARRAY(L2), _xlpm.r), 0),
IF(INDEX(_xlfn.ANCHORARRAY(AB2), _xlpm.r)="Small Businesses", 0, IF(INDEX(_xlfn.ANCHORARRAY(AB2), _xlpm.r)="All Non-Businesses", 0,
INDEX(_xlfn.ANCHORARRAY(M2), _xlpm.r)*
IF(INDEX(_xlfn.ANCHORARRAY(AC2),_xlpm.r)=1, IF(_xlpm.AllGroups, INDEX(_xlfn.ANCHORARRAY(I2), _xlpm.r)*INDEX(MedLargeBusinessCounts,_xlpm.c)*(1+INDEX(MedLargeBusinessGrowthRates, _xlpm.c))^INDEX(_xlfn.ANCHORARRAY(AD2), _xlpm.r), _xlpm.ThisGroup),
IF(INDEX(_xlfn.ANCHORARRAY(AC2),_xlpm.r)=2, IF(_xlpm.AllGroups, INDEX(_xlfn.ANCHORARRAY(I2), _xlpm.r)*INDEX(MedLargeBusinessCounts, _xlpm.c)*(1+INDEX(MedLargeBusinessGrowthRates, _xlpm.c))^IF(INDEX(MedLargeBusinessGrowthRates, _xlpm.c)&lt;0, INDEX(_xlfn.ANCHORARRAY(AD2), _xlpm.r), INDEX(_xlfn.ANCHORARRAY(AE2), _xlpm.r)), _xlpm.ThisGroup),
IF(INDEX(_xlfn.ANCHORARRAY(AC2),_xlpm.r)=3, IF(_xlpm.AllGroups, INDEX(_xlfn.ANCHORARRAY(I2), _xlpm.r)*INDEX(MedLargeBusinessCounts, _xlpm.c)*((1+MAX(INDEX(MedLargeBusinessGrowthRates, _xlpm.c), 0))^INDEX(_xlfn.ANCHORARRAY(AD2), _xlpm.r)-(1+MAX(INDEX(MedLargeBusinessGrowthRates, _xlpm.c), 0))^INDEX(_xlfn.ANCHORARRAY(AE2), _xlpm.r)), _xlpm.ThisGroup),
IF(INDEX(_xlfn.ANCHORARRAY(AC2),_xlpm.r)=4, IF(_xlpm.AllGroups, INDEX(_xlfn.ANCHORARRAY(I2), _xlpm.r)*IF(INDEX(_xlfn.ANCHORARRAY(F2),_xlpm.r)=0, INDEX(MedLargeBusinessCounts, _xlpm.c)*(1+INDEX(MedLargeBusinessGrowthRates, _xlpm.c))^INDEX(_xlfn.ANCHORARRAY(AD2), _xlpm.r), INDEX(MedLargeBusinessCounts, _xlpm.c)*(((1+MAX(INDEX(MedLargeBusinessGrowthRates, _xlpm.c), 0))^INDEX(_xlfn.ANCHORARRAY(AD2), _xlpm.r))-(1+MAX(INDEX(MedLargeBusinessGrowthRates, _xlpm.c), 0))^INDEX(_xlfn.ANCHORARRAY(AD2), _xlpm.r-1))), _xlpm.ThisGroup),
IF(INDEX(_xlfn.ANCHORARRAY(AC2),_xlpm.r)=5, IF(_xlpm.AllGroups, INDEX(_xlfn.ANCHORARRAY(I2), _xlpm.r)*IF(INDEX(_xlfn.ANCHORARRAY(F2),_xlpm.r)=0, INDEX(MedLargeBusinessCounts, _xlpm.c)*(1+INDEX(MedLargeBusinessGrowthRates, _xlpm.c))^INDEX(_xlfn.ANCHORARRAY(AD2), _xlpm.r), 0), _xlpm.ThisGroup),
IF(INDEX(_xlfn.ANCHORARRAY(AC2),_xlpm.r)=6, IF(_xlpm.AllGroups, INDEX(_xlfn.ANCHORARRAY(I2), _xlpm.r)*IF(INDEX(_xlfn.ANCHORARRAY(F2), _xlpm.r)=0, 0, INDEX(MedLargeBusinessCounts, _xlpm.c)*(((1+MAX(INDEX(MedLargeBusinessGrowthRates, _xlpm.c), 0))^INDEX(_xlfn.ANCHORARRAY(AD2), _xlpm.r))-(1+MAX(INDEX(MedLargeBusinessGrowthRates, _xlpm.c), 0))^INDEX(_xlfn.ANCHORARRAY(AD2), _xlpm.r-1))), _xlpm.ThisGroup),
0))))))))))),
_xlpm.x, _xlpm.nonbusinesscosts_undiscounted+_xlpm.smallbusinesscosts_undiscounted+_xlpm.medlargebusinesscosts_undiscounted,
_xlfn.HSTACK(_xlpm.x, _xlpm.x/(1+Discount)^_xlfn.ANCHORARRAY(AF2))), "")</f>
        <v>0</v>
      </c>
      <c r="AQ2" t="str">
        <v/>
      </c>
    </row>
    <row r="62" spans="20:20" x14ac:dyDescent="0.25">
      <c r="T62" s="3"/>
    </row>
    <row r="63" spans="20:20" x14ac:dyDescent="0.25">
      <c r="T63" s="3"/>
    </row>
    <row r="64" spans="20:20" x14ac:dyDescent="0.25">
      <c r="T64" s="3"/>
    </row>
    <row r="65" spans="20:20" x14ac:dyDescent="0.25">
      <c r="T65" s="3"/>
    </row>
  </sheetData>
  <sheetProtection sheet="1" pivotTables="0"/>
  <conditionalFormatting sqref="G2:G20000 J2:L20000">
    <cfRule type="notContainsBlanks" dxfId="2" priority="4">
      <formula>LEN(TRIM(G2))&gt;0</formula>
    </cfRule>
  </conditionalFormatting>
  <conditionalFormatting sqref="I2:I20000">
    <cfRule type="notContainsBlanks" dxfId="1" priority="1">
      <formula>LEN(TRIM(I2))&gt;0</formula>
    </cfRule>
  </conditionalFormatting>
  <conditionalFormatting sqref="M2:X20000">
    <cfRule type="notContainsBlanks" dxfId="0" priority="2">
      <formula>LEN(TRIM(M2))&gt;0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DL92"/>
  <sheetViews>
    <sheetView zoomScale="70" zoomScaleNormal="70" zoomScaleSheetLayoutView="86" workbookViewId="0"/>
  </sheetViews>
  <sheetFormatPr defaultColWidth="8.7109375" defaultRowHeight="15" x14ac:dyDescent="0.25"/>
  <cols>
    <col min="1" max="1" width="21.7109375" customWidth="1"/>
    <col min="2" max="2" width="21.85546875" customWidth="1"/>
    <col min="3" max="3" width="22.85546875" customWidth="1"/>
    <col min="4" max="4" width="26.140625" customWidth="1"/>
    <col min="5" max="5" width="26.5703125" customWidth="1"/>
    <col min="6" max="6" width="18.5703125" customWidth="1"/>
    <col min="7" max="7" width="25.5703125" bestFit="1" customWidth="1"/>
    <col min="8" max="8" width="27.5703125" customWidth="1"/>
    <col min="9" max="9" width="108.42578125" customWidth="1"/>
    <col min="10" max="10" width="15.85546875" customWidth="1"/>
    <col min="11" max="11" width="11.28515625" customWidth="1"/>
    <col min="12" max="12" width="10.7109375" customWidth="1"/>
    <col min="13" max="13" width="8.5703125" customWidth="1"/>
    <col min="14" max="14" width="18.5703125" customWidth="1"/>
    <col min="15" max="15" width="17.42578125" customWidth="1"/>
    <col min="16" max="16" width="78" customWidth="1"/>
    <col min="17" max="17" width="14.42578125" customWidth="1"/>
    <col min="18" max="18" width="121.42578125" customWidth="1"/>
    <col min="19" max="19" width="25.5703125" customWidth="1"/>
    <col min="20" max="20" width="68.42578125" customWidth="1"/>
    <col min="21" max="21" width="23" customWidth="1"/>
    <col min="23" max="23" width="34" customWidth="1"/>
    <col min="25" max="25" width="15" customWidth="1"/>
    <col min="26" max="26" width="9.42578125" customWidth="1"/>
    <col min="27" max="27" width="15.5703125" customWidth="1"/>
    <col min="28" max="28" width="18.5703125" customWidth="1"/>
    <col min="29" max="29" width="14.85546875" customWidth="1"/>
    <col min="30" max="34" width="14.5703125" customWidth="1"/>
    <col min="35" max="35" width="36.42578125" customWidth="1"/>
    <col min="39" max="39" width="16.42578125" customWidth="1"/>
    <col min="40" max="40" width="16.85546875" customWidth="1"/>
    <col min="41" max="41" width="17" customWidth="1"/>
    <col min="44" max="44" width="134" customWidth="1"/>
    <col min="45" max="45" width="42" customWidth="1"/>
    <col min="46" max="46" width="30.5703125" customWidth="1"/>
    <col min="47" max="47" width="40" customWidth="1"/>
    <col min="48" max="48" width="32.5703125" customWidth="1"/>
    <col min="49" max="49" width="31.5703125" customWidth="1"/>
    <col min="50" max="50" width="26.85546875" customWidth="1"/>
    <col min="51" max="51" width="27.140625" customWidth="1"/>
    <col min="52" max="52" width="26.28515625" customWidth="1"/>
    <col min="53" max="53" width="30.5703125" customWidth="1"/>
    <col min="54" max="54" width="32.140625" customWidth="1"/>
    <col min="55" max="55" width="33.5703125" customWidth="1"/>
    <col min="56" max="56" width="31" customWidth="1"/>
    <col min="57" max="57" width="37.5703125" customWidth="1"/>
    <col min="58" max="58" width="32.42578125" customWidth="1"/>
    <col min="59" max="59" width="30.140625" customWidth="1"/>
    <col min="60" max="60" width="50.42578125" customWidth="1"/>
    <col min="61" max="61" width="81.42578125" customWidth="1"/>
    <col min="63" max="63" width="9.85546875" bestFit="1" customWidth="1"/>
    <col min="66" max="66" width="64.5703125" customWidth="1"/>
    <col min="74" max="74" width="24.7109375" customWidth="1"/>
    <col min="75" max="75" width="16.140625" customWidth="1"/>
    <col min="76" max="76" width="20.140625" customWidth="1"/>
    <col min="77" max="77" width="8" customWidth="1"/>
    <col min="78" max="78" width="16.42578125" customWidth="1"/>
    <col min="79" max="79" width="20.5703125" customWidth="1"/>
    <col min="80" max="80" width="10.42578125" bestFit="1" customWidth="1"/>
    <col min="81" max="82" width="9.42578125" bestFit="1" customWidth="1"/>
    <col min="83" max="83" width="10.42578125" customWidth="1"/>
    <col min="84" max="84" width="10.85546875" customWidth="1"/>
    <col min="85" max="85" width="12.42578125" customWidth="1"/>
    <col min="86" max="86" width="11.42578125" customWidth="1"/>
    <col min="87" max="87" width="15.5703125" customWidth="1"/>
    <col min="88" max="88" width="13.42578125" customWidth="1"/>
    <col min="89" max="89" width="13" customWidth="1"/>
    <col min="90" max="90" width="13.42578125" customWidth="1"/>
    <col min="91" max="91" width="13" customWidth="1"/>
    <col min="92" max="92" width="12" customWidth="1"/>
    <col min="93" max="93" width="12.5703125" customWidth="1"/>
    <col min="94" max="94" width="11.42578125" customWidth="1"/>
    <col min="95" max="96" width="13.42578125" customWidth="1"/>
    <col min="97" max="97" width="15.42578125" customWidth="1"/>
    <col min="100" max="100" width="9" bestFit="1" customWidth="1"/>
    <col min="101" max="101" width="9.42578125" bestFit="1" customWidth="1"/>
    <col min="102" max="102" width="9" bestFit="1" customWidth="1"/>
    <col min="103" max="103" width="14.42578125" customWidth="1"/>
    <col min="104" max="104" width="10.42578125" customWidth="1"/>
    <col min="105" max="105" width="10.85546875" customWidth="1"/>
    <col min="106" max="107" width="13.5703125" customWidth="1"/>
    <col min="108" max="108" width="12.5703125" customWidth="1"/>
    <col min="109" max="110" width="13.85546875" customWidth="1"/>
    <col min="111" max="111" width="11.85546875" customWidth="1"/>
    <col min="112" max="112" width="11.5703125" customWidth="1"/>
    <col min="114" max="114" width="28.140625" bestFit="1" customWidth="1"/>
    <col min="115" max="115" width="27.42578125" customWidth="1"/>
    <col min="116" max="116" width="16.5703125" customWidth="1"/>
  </cols>
  <sheetData>
    <row r="1" spans="2:116" ht="90" x14ac:dyDescent="0.25">
      <c r="B1" s="119" t="s">
        <v>120</v>
      </c>
      <c r="C1" s="119" t="s">
        <v>121</v>
      </c>
      <c r="D1" s="119" t="s">
        <v>122</v>
      </c>
      <c r="E1" s="119" t="s">
        <v>123</v>
      </c>
      <c r="F1" s="119" t="s">
        <v>124</v>
      </c>
      <c r="G1" s="119" t="s">
        <v>125</v>
      </c>
      <c r="H1" s="121" t="s">
        <v>126</v>
      </c>
      <c r="I1" s="120" t="s">
        <v>127</v>
      </c>
      <c r="J1" s="8" t="str">
        <f>tbl_Wages[[#Headers],[Wage in price year of analysis (without overhead)]]</f>
        <v>Wage in price year of analysis (without overhead)</v>
      </c>
      <c r="K1" s="8" t="s">
        <v>309</v>
      </c>
      <c r="L1" s="8" t="s">
        <v>310</v>
      </c>
      <c r="M1" s="8" t="s">
        <v>311</v>
      </c>
      <c r="R1" t="s">
        <v>128</v>
      </c>
      <c r="BV1" s="4" t="s">
        <v>86</v>
      </c>
      <c r="BW1" s="6" t="s">
        <v>87</v>
      </c>
      <c r="BX1" s="6" t="s">
        <v>88</v>
      </c>
      <c r="BY1" s="6" t="s">
        <v>89</v>
      </c>
      <c r="BZ1" s="6" t="s">
        <v>84</v>
      </c>
      <c r="CA1" s="6" t="s">
        <v>90</v>
      </c>
      <c r="CB1" s="117" t="s">
        <v>91</v>
      </c>
      <c r="CC1" s="6" t="s">
        <v>92</v>
      </c>
      <c r="CD1" s="6" t="s">
        <v>33</v>
      </c>
      <c r="CE1" s="6" t="s">
        <v>93</v>
      </c>
      <c r="CF1" s="6" t="s">
        <v>94</v>
      </c>
      <c r="CG1" s="6" t="s">
        <v>95</v>
      </c>
      <c r="CH1" s="6" t="str">
        <f>"Cost Per Event ("&amp;PriceYear&amp;" CAD)"</f>
        <v>Cost Per Event (2023 CAD)</v>
      </c>
      <c r="CI1" s="4" t="s">
        <v>96</v>
      </c>
      <c r="CJ1" s="4" t="s">
        <v>97</v>
      </c>
      <c r="CK1" s="4" t="s">
        <v>98</v>
      </c>
      <c r="CL1" s="6" t="s">
        <v>99</v>
      </c>
      <c r="CM1" s="6" t="s">
        <v>100</v>
      </c>
      <c r="CN1" s="6" t="s">
        <v>101</v>
      </c>
      <c r="CO1" s="6" t="s">
        <v>102</v>
      </c>
      <c r="CP1" s="6" t="s">
        <v>103</v>
      </c>
      <c r="CQ1" s="6" t="s">
        <v>104</v>
      </c>
      <c r="CR1" s="6" t="s">
        <v>105</v>
      </c>
      <c r="CS1" s="6" t="s">
        <v>106</v>
      </c>
      <c r="CV1" s="6" t="s">
        <v>107</v>
      </c>
      <c r="CW1" s="4" t="s">
        <v>108</v>
      </c>
      <c r="CX1" s="4" t="s">
        <v>109</v>
      </c>
      <c r="CY1" s="4" t="s">
        <v>110</v>
      </c>
      <c r="CZ1" s="4" t="s">
        <v>111</v>
      </c>
      <c r="DA1" s="4" t="s">
        <v>112</v>
      </c>
      <c r="DB1" s="4" t="s">
        <v>113</v>
      </c>
      <c r="DC1" s="4" t="s">
        <v>114</v>
      </c>
      <c r="DD1" s="4" t="s">
        <v>115</v>
      </c>
      <c r="DE1" s="4" t="s">
        <v>116</v>
      </c>
      <c r="DF1" s="4" t="s">
        <v>117</v>
      </c>
      <c r="DG1" s="4" t="s">
        <v>118</v>
      </c>
      <c r="DH1" s="4" t="s">
        <v>119</v>
      </c>
      <c r="DI1" s="98"/>
      <c r="DJ1" s="118" t="str">
        <f>"{undiscounted, discounted}:"</f>
        <v>{undiscounted, discounted}:</v>
      </c>
      <c r="DK1" s="8" t="s">
        <v>129</v>
      </c>
      <c r="DL1" s="8" t="s">
        <v>130</v>
      </c>
    </row>
    <row r="2" spans="2:116" ht="61.5" customHeight="1" x14ac:dyDescent="0.25">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80"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125">
        <v>2</v>
      </c>
      <c r="I2" t="str" cm="1">
        <f t="array" ref="I2:I53">tbl_Wages[Number] &amp; " " &amp; tbl_Wages[National Occupational Classification (NOC)]&amp; IFERROR(" ("&amp;DOLLAR(tbl_Wages[Wage in price year of analysis (without overhead)], H2)&amp;")", "(custom wage not added yet)")</f>
        <v>01 Canada average ($33.32)</v>
      </c>
      <c r="J2" s="3" cm="1">
        <f t="array" ref="J2:J53">tbl_Wages[Wage in price year of analysis (without overhead)]</f>
        <v>33.317182203389827</v>
      </c>
      <c r="K2" s="148" cm="1">
        <f t="array" ref="K2:K9">_xlfn.SEQUENCE(Time-2, , YearOfRegistration+1)</f>
        <v>2026</v>
      </c>
      <c r="L2" s="148" cm="1">
        <f t="array" ref="L2:L8">IF(ISBLANK('Cost-benefit Statement'!$C$14), "", _xlfn.TAKE(_xlfn.DROP(_xlfn._xlws.SORT(_xlfn.HSTACK(_xlfn.ANCHORARRAY(Controls!$K$2), IF(_xlfn.ANCHORARRAY(Controls!$K$2)='Cost-benefit Statement'!$C$14, 1, 0)), 2), -1),, 1))</f>
        <v>2026</v>
      </c>
      <c r="M2" s="148" t="str" cm="1">
        <f t="array" ref="M2">IF(ISBLANK('Cost-benefit Statement'!$C$15), "", _xlfn.TAKE(_xlfn.DROP(_xlfn._xlws.SORT(_xlfn.HSTACK(_xlfn.ANCHORARRAY(Controls!$L$2), IF(_xlfn.ANCHORARRAY(Controls!$L$2)='Cost-benefit Statement'!$C$15, 1, 0)), 2), -1),, 1))</f>
        <v/>
      </c>
      <c r="N2" s="14" t="s">
        <v>131</v>
      </c>
      <c r="O2" s="14" t="s">
        <v>132</v>
      </c>
      <c r="P2" s="14" t="s">
        <v>133</v>
      </c>
      <c r="R2" s="47" t="str">
        <f>IF(OneForOneLanding=0,R5,R4)</f>
        <v>The one-for-one rule does not apply as there is no impact on business.</v>
      </c>
      <c r="S2" s="47"/>
      <c r="T2" s="47"/>
      <c r="U2" s="100"/>
      <c r="BV2" s="18" t="s">
        <v>134</v>
      </c>
      <c r="BW2" s="18" t="s">
        <v>135</v>
      </c>
      <c r="BX2" s="18" t="s">
        <v>136</v>
      </c>
      <c r="BY2" s="18" t="s">
        <v>137</v>
      </c>
      <c r="BZ2" s="18" t="s">
        <v>138</v>
      </c>
      <c r="CA2" s="18" t="s">
        <v>139</v>
      </c>
      <c r="CB2" s="18" t="s">
        <v>140</v>
      </c>
      <c r="CC2" s="18" t="s">
        <v>141</v>
      </c>
      <c r="CD2" s="18" t="s">
        <v>142</v>
      </c>
      <c r="CE2" s="18" t="s">
        <v>143</v>
      </c>
      <c r="CF2" s="18" t="s">
        <v>144</v>
      </c>
      <c r="CG2" s="18" t="s">
        <v>145</v>
      </c>
      <c r="CH2" s="18" t="s">
        <v>300</v>
      </c>
      <c r="CI2" s="18" t="s">
        <v>146</v>
      </c>
      <c r="CJ2" s="18" t="s">
        <v>147</v>
      </c>
      <c r="CK2" s="18" t="s">
        <v>148</v>
      </c>
      <c r="CL2" s="18" t="s">
        <v>149</v>
      </c>
      <c r="CM2" s="18" t="s">
        <v>150</v>
      </c>
      <c r="CN2" s="18" t="s">
        <v>151</v>
      </c>
      <c r="CO2" s="18" t="s">
        <v>152</v>
      </c>
      <c r="CP2" s="18" t="s">
        <v>153</v>
      </c>
      <c r="CQ2" s="18" t="s">
        <v>154</v>
      </c>
      <c r="CR2" s="18" t="s">
        <v>155</v>
      </c>
      <c r="CS2" s="18" t="s">
        <v>156</v>
      </c>
      <c r="CV2" s="18" t="s">
        <v>157</v>
      </c>
      <c r="CW2" s="18" t="s">
        <v>158</v>
      </c>
      <c r="CX2" s="18" t="s">
        <v>159</v>
      </c>
      <c r="CY2" s="18" t="s">
        <v>160</v>
      </c>
      <c r="CZ2" s="18" t="s">
        <v>161</v>
      </c>
      <c r="DA2" s="18" t="s">
        <v>162</v>
      </c>
      <c r="DB2" s="18" t="s">
        <v>163</v>
      </c>
      <c r="DC2" s="18" t="s">
        <v>164</v>
      </c>
      <c r="DD2" s="18" t="s">
        <v>165</v>
      </c>
      <c r="DE2" s="18" t="s">
        <v>166</v>
      </c>
      <c r="DF2" s="18" t="s">
        <v>167</v>
      </c>
      <c r="DG2" s="18" t="s">
        <v>168</v>
      </c>
      <c r="DH2" s="18" t="s">
        <v>169</v>
      </c>
      <c r="DK2" s="8" t="s">
        <v>170</v>
      </c>
    </row>
    <row r="3" spans="2:116" ht="15.75" thickBot="1" x14ac:dyDescent="0.3">
      <c r="C3" s="80">
        <v>0.01</v>
      </c>
      <c r="D3">
        <v>11</v>
      </c>
      <c r="E3">
        <v>2013</v>
      </c>
      <c r="F3">
        <v>2023</v>
      </c>
      <c r="G3" t="str">
        <v>End of Analytical Period</v>
      </c>
      <c r="I3" t="str">
        <v>02 Management occupations ($54.36)</v>
      </c>
      <c r="J3">
        <v>54.363700564971751</v>
      </c>
      <c r="K3">
        <v>2027</v>
      </c>
      <c r="L3">
        <v>2027</v>
      </c>
      <c r="N3" s="2" t="s">
        <v>171</v>
      </c>
      <c r="O3" s="2">
        <f>0.07/(1-(1.07)^(-10))</f>
        <v>0.14237750272736471</v>
      </c>
      <c r="P3" s="2" t="s">
        <v>172</v>
      </c>
      <c r="V3" s="106" t="s">
        <v>173</v>
      </c>
      <c r="AS3" s="8"/>
      <c r="AT3" s="8"/>
      <c r="AU3" s="8"/>
      <c r="AV3" s="8"/>
      <c r="AW3" s="8"/>
      <c r="AX3" s="8"/>
    </row>
    <row r="4" spans="2:116" ht="15" customHeight="1" thickBot="1" x14ac:dyDescent="0.3">
      <c r="C4" s="80">
        <v>0.02</v>
      </c>
      <c r="D4">
        <v>12</v>
      </c>
      <c r="E4">
        <v>2014</v>
      </c>
      <c r="F4">
        <v>2022</v>
      </c>
      <c r="G4">
        <v>2025</v>
      </c>
      <c r="I4" t="str">
        <v>03 Senior management occupations ($63.82)</v>
      </c>
      <c r="J4">
        <v>63.816327683615818</v>
      </c>
      <c r="K4">
        <v>2028</v>
      </c>
      <c r="L4">
        <v>2028</v>
      </c>
      <c r="N4" s="2" t="s">
        <v>174</v>
      </c>
      <c r="O4" s="2">
        <f>Discount/(1-(1+Discount)^(-Time))</f>
        <v>0.14237750272736471</v>
      </c>
      <c r="P4" s="2" t="s">
        <v>175</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110" t="s">
        <v>86</v>
      </c>
      <c r="W4" s="111" t="s">
        <v>176</v>
      </c>
      <c r="X4" s="111" t="s">
        <v>177</v>
      </c>
      <c r="Y4" s="111" t="s">
        <v>178</v>
      </c>
      <c r="Z4" s="111" t="s">
        <v>91</v>
      </c>
      <c r="AA4" s="111" t="s">
        <v>179</v>
      </c>
      <c r="AB4" s="111" t="s">
        <v>180</v>
      </c>
      <c r="AC4" s="111" t="s">
        <v>181</v>
      </c>
      <c r="AD4" s="107" t="s">
        <v>182</v>
      </c>
      <c r="AE4" s="107" t="s">
        <v>183</v>
      </c>
      <c r="AF4" s="107" t="s">
        <v>184</v>
      </c>
      <c r="AG4" s="107" t="s">
        <v>185</v>
      </c>
      <c r="AH4" s="107" t="s">
        <v>186</v>
      </c>
      <c r="AI4" s="107" t="s">
        <v>187</v>
      </c>
      <c r="AJ4" s="108" t="s">
        <v>188</v>
      </c>
      <c r="AM4" s="109" t="s">
        <v>189</v>
      </c>
      <c r="AN4" s="107" t="s">
        <v>190</v>
      </c>
      <c r="AO4" s="107" t="s">
        <v>191</v>
      </c>
      <c r="AP4" s="107" t="s">
        <v>192</v>
      </c>
      <c r="AQ4" s="107" t="s">
        <v>193</v>
      </c>
      <c r="AR4" s="107" t="s">
        <v>194</v>
      </c>
      <c r="AS4" s="141" t="s">
        <v>195</v>
      </c>
      <c r="AT4" s="141" t="s">
        <v>196</v>
      </c>
      <c r="AU4" s="141" t="s">
        <v>197</v>
      </c>
      <c r="AV4" s="141" t="s">
        <v>198</v>
      </c>
      <c r="AW4" s="107" t="s">
        <v>199</v>
      </c>
      <c r="AX4" s="107" t="s">
        <v>200</v>
      </c>
      <c r="AY4" s="107" t="s">
        <v>201</v>
      </c>
      <c r="AZ4" s="107" t="s">
        <v>202</v>
      </c>
      <c r="BA4" s="107" t="s">
        <v>203</v>
      </c>
      <c r="BB4" s="107" t="s">
        <v>204</v>
      </c>
      <c r="BC4" s="107" t="s">
        <v>205</v>
      </c>
      <c r="BD4" s="107" t="s">
        <v>206</v>
      </c>
      <c r="BE4" s="107" t="s">
        <v>207</v>
      </c>
      <c r="BF4" s="107" t="s">
        <v>208</v>
      </c>
      <c r="BG4" s="107" t="s">
        <v>209</v>
      </c>
      <c r="BH4" s="107" t="s">
        <v>210</v>
      </c>
      <c r="BI4" s="107" t="s">
        <v>211</v>
      </c>
      <c r="BN4" s="46" t="str">
        <f>_xlfn.CONCAT(BN5:BN88)</f>
        <v xml:space="preserve">The amendments related to Activity Name Not Entered represent an annualized total  of $0. 
</v>
      </c>
    </row>
    <row r="5" spans="2:116" ht="66" customHeight="1" x14ac:dyDescent="0.25">
      <c r="C5" s="80">
        <v>0.03</v>
      </c>
      <c r="D5">
        <v>13</v>
      </c>
      <c r="E5">
        <v>2015</v>
      </c>
      <c r="F5">
        <v>2021</v>
      </c>
      <c r="G5">
        <v>2026</v>
      </c>
      <c r="I5" t="str">
        <v>04 Specialized middle management occupations ($58.78)</v>
      </c>
      <c r="J5">
        <v>58.779364406779656</v>
      </c>
      <c r="K5">
        <v>2029</v>
      </c>
      <c r="L5">
        <v>2030</v>
      </c>
      <c r="R5" t="str">
        <f>IF(SUM(tbl_Stakeholders[Small Business Count])+SUM(tbl_Stakeholders[Med/Large Business Count])=0,Controls!R7,IF(AND(Controls!S36=0,'Initiative Details'!D9=0,'Initiative Details'!D10=0),Controls!R8,IF(AND(Controls!S36=0,'Initiative Details'!D9='Initiative Details'!D10),Controls!R9,R10)))</f>
        <v>The one-for-one rule does not apply as there is no impact on business.</v>
      </c>
      <c r="V5" s="13"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_xlfn.XLOOKUP(_xlfn.ANCHORARRAY($V5),ActivityNumber,tbl_Activities[In or Out],0,1)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_xlfn.LET(_xlpm.WageClass,_xlfn.XLOOKUP(_xlfn.ANCHORARRAY($V5),ActivityNumber,LEFT(tbl_Activities[Labour: Staff Level (Wage Without Overhead)], 2),0,1),_xlfn.XLOOKUP(_xlpm.WageClass,tbl_Wages[Number],tbl_Wages[Wage in price year of analysis (without overhead)],"No",-1,1))*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(((SUMIFS(_xlfn.ANCHORARRAY('Full Output'!$X2),_xlfn.ANCHORARRAY('Full Output'!$A2),_xlfn.ANCHORARRAY($V5),_xlfn.ANCHORARRAY('Full Output'!$E2),"&lt;"&amp;YearOfRegistration+"10")*OneforOne_CPI_Conversion)*1.07^-Years_since_2012)*0.07)/(1-(1+'One-for-one'!$C$9)^-10)</f>
        <v>0</v>
      </c>
      <c r="AJ5" s="140" cm="1">
        <f t="array" ref="AJ5">_xlfn.MAXIFS(_xlfn.ANCHORARRAY('Full Output'!$K2),_xlfn.ANCHORARRAY('Full Output'!$A2),_xlfn.ANCHORARRAY($V5))+_xlfn.MAXIFS(_xlfn.ANCHORARRAY('Full Output'!$L2),_xlfn.ANCHORARRAY('Full Output'!$A2),_xlfn.ANCHORARRAY($V5))</f>
        <v>0</v>
      </c>
      <c r="AM5" s="8" t="str" cm="1">
        <f t="array" ref="AM5">_xlfn.UNIQUE(_xlfn.ANCHORARRAY(W5))</f>
        <v>Activity Name Not Entered</v>
      </c>
      <c r="AN5" s="101" cm="1">
        <f t="array" ref="AN5">SUMIFS(_xlfn.ANCHORARRAY($AI5),_xlfn.ANCHORARRAY($W5),_xlfn.ANCHORARRAY($AM5),_xlfn.ANCHORARRAY($Y5),"Labour",_xlfn.ANCHORARRAY($X5),"In")</f>
        <v>0</v>
      </c>
      <c r="AO5" s="101" cm="1">
        <f t="array" ref="AO5">SUMIFS(_xlfn.ANCHORARRAY($AI5),_xlfn.ANCHORARRAY($W5),_xlfn.ANCHORARRAY($AM5),_xlfn.ANCHORARRAY($Y5),"Labour",_xlfn.ANCHORARRAY($X5),"Out")</f>
        <v>0</v>
      </c>
      <c r="AP5" s="101" cm="1">
        <f t="array" ref="AP5">SUMIFS(_xlfn.ANCHORARRAY($AI5),_xlfn.ANCHORARRAY($W5),_xlfn.ANCHORARRAY($AM5),_xlfn.ANCHORARRAY($Y5),"Capital",_xlfn.ANCHORARRAY($X5),"In")</f>
        <v>0</v>
      </c>
      <c r="AQ5" s="101" cm="1">
        <f t="array" ref="AQ5">SUMIFS(_xlfn.ANCHORARRAY($AI5),_xlfn.ANCHORARRAY($W5),_xlfn.ANCHORARRAY($AM5),_xlfn.ANCHORARRAY($Y5),"Capital",_xlfn.ANCHORARRAY($X5),"Out")</f>
        <v>0</v>
      </c>
      <c r="AR5" s="113" t="str" cm="1">
        <f t="array" ref="AR5">$U$21&amp;_xlfn.ANCHORARRAY(AM5)&amp;" represent "&amp;IF(--(_xlfn.ANCHORARRAY(AN5)+_xlfn.ANCHORARRAY(AP5)=0)+--(_xlfn.ANCHORARRAY(AO5)+_xlfn.ANCHORARRAY(AQ5)=0)&gt;0,"an annualized total ","an annualized net ")&amp;IF((_xlfn.ANCHORARRAY(AN5)+_xlfn.ANCHORARRAY(AO5)+_xlfn.ANCHORARRAY(AP5)+_xlfn.ANCHORARRAY(AQ5))&gt;0,"cost",IF((_xlfn.ANCHORARRAY(AN5)+_xlfn.ANCHORARRAY(AO5)+_xlfn.ANCHORARRAY(AP5)+_xlfn.ANCHORARRAY(AQ5))&lt;0,"cost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_xlfn.MAXIFS(_xlfn.ANCHORARRAY($AJ5),_xlfn.ANCHORARRAY($W5),_xlfn.ANCHORARRAY($AM5),_xlfn.ANCHORARRAY($X5),"In",_xlfn.ANCHORARRAY($Y5),"Labour",_xlfn.ANCHORARRAY(AJ5),"&gt;0"),IF(_xlpm.BizCount=1,"One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_xlfn.MAXIFS(_xlfn.ANCHORARRAY($AJ5),_xlfn.ANCHORARRAY($W5),_xlfn.ANCHORARRAY($AM5),_xlfn.ANCHORARRAY($X5),"Out",_xlfn.ANCHORARRAY($Y5),"Labour"),IF(_xlpm.BizCount=1,"One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_xlfn.MAXIFS(_xlfn.ANCHORARRAY($AJ5),_xlfn.ANCHORARRAY($W5),_xlfn.ANCHORARRAY($AM5),_xlfn.ANCHORARRAY($X5),"In",_xlfn.ANCHORARRAY($Y5),"Capital"),IF(_xlpm.BizCount=1,"One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_xlfn.MAXIFS(_xlfn.ANCHORARRAY($AJ5),_xlfn.ANCHORARRAY($W5),_xlfn.ANCHORARRAY($AM5),_xlfn.ANCHORARRAY($X5),"Out",_xlfn.ANCHORARRAY($Y5),"Capital"),IF(_xlpm.BizCount=1,"One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45" t="str" cm="1">
        <f t="array" ref="AW5">_xlfn.LET(_xlpm.AVGLabHours, SUMIFS(_xlfn.ANCHORARRAY($AC5),_xlfn.ANCHORARRAY($W5),_xlfn.ANCHORARRAY($AM5),_xlfn.ANCHORARRAY($X5),"in",_xlfn.ANCHORARRAY(AJ5),"&gt;0"), IF(_xlpm.AVGLabHours=0,"",IF(_xlpm.AVGLabHours&lt;1,_xlpm.AVGLabHours * 60 &amp; " minutes",IF(_xlpm.AVGLabHours=1, "one hour",IF(_xlpm.AVGLabHours&lt;10,INDEX(tbl_NumberWord[],_xlpm.AVGLabHours,2) &amp; " hours", ROUND(_xlpm.AVGLabHours, 2) &amp;" hours"))) &amp; " to complete the task "))</f>
        <v/>
      </c>
      <c r="AX5" s="45" t="str" cm="1">
        <f t="array" ref="AX5">_xlfn.LET(_xlpm.AVGLabHours, SUMIFS(_xlfn.ANCHORARRAY($AC5),_xlfn.ANCHORARRAY($W5),_xlfn.ANCHORARRAY($AM5),_xlfn.ANCHORARRAY($X5),"out",_xlfn.ANCHORARRAY(AJ5),"&gt;0"),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45" t="str" cm="1">
        <f t="array" ref="AY5">_xlfn.LET(_xlpm.CapUnits, SUMIFS(_xlfn.ANCHORARRAY($AA5),_xlfn.ANCHORARRAY($W5),_xlfn.ANCHORARRAY($AM5),_xlfn.ANCHORARRAY($X5),"In",_xlfn.ANCHORARRAY(AJ5),"&gt;0"),IF(_xlpm.CapUnits=0,"",IF(_xlpm.CapUnits &lt;1, _xlpm.CapUnits &amp; " units ",IF(_xlpm.CapUnits =1, " one unit ",IF(_xlpm.CapUnits&lt;10,INDEX(tbl_NumberWord[],_xlpm.CapUnits,2) &amp; " units ", _xlpm.CapUnits &amp;" units ")))))</f>
        <v/>
      </c>
      <c r="AZ5" s="45" t="str" cm="1">
        <f t="array" ref="AZ5">_xlfn.LET(_xlpm.CapUnits, SUMIFS(_xlfn.ANCHORARRAY($AA5),_xlfn.ANCHORARRAY($W5),_xlfn.ANCHORARRAY($AM5),_xlfn.ANCHORARRAY($X5),"out",_xlfn.ANCHORARRAY(AJ5),"&gt;0"),IF(_xlpm.CapUnits=0,"",IF(_xlpm.CapUnits &lt;1, _xlpm.CapUnits &amp; " units ",IF(_xlpm.CapUnits =1, "one unit",IF(_xlpm.CapUnits&lt;10,INDEX(tbl_NumberWord[],_xlpm.CapUnits,2) &amp; " units", _xlpm.CapUnits &amp;" units")))))</f>
        <v/>
      </c>
      <c r="BA5" s="45" t="str" cm="1">
        <f t="array" ref="BA5">_xlfn.LET(_xlpm.LabFreq, _xlfn.MAXIFS(_xlfn.ANCHORARRAY($Z5),_xlfn.ANCHORARRAY($W5),_xlfn.ANCHORARRAY($AM5),_xlfn.ANCHORARRAY($X5),"In",_xlfn.ANCHORARRAY($Y5),"Labour",_xlfn.ANCHORARRAY(AJ5),"&gt;0"),IF(_xlpm.LabFreq=0,"",IF(_xlpm.LabFreq&lt;1, "every " &amp; ROUND(1/_xlpm.LabFreq,0) &amp; " years. ",IF(_xlpm.LabFreq=1, "once per year. ",IF(_xlpm.LabFreq&lt;10,INDEX(tbl_NumberWord[],_xlpm.LabFreq,2)&amp; " times per year. ",_xlpm.LabFreq &amp; " times per year. "))) ))</f>
        <v/>
      </c>
      <c r="BB5" s="45" t="str" cm="1">
        <f t="array" ref="BB5">_xlfn.LET(_xlpm.LabFreq, _xlfn.MAXIFS(_xlfn.ANCHORARRAY($Z5),_xlfn.ANCHORARRAY($W5),_xlfn.ANCHORARRAY($AM5),_xlfn.ANCHORARRAY($X5),"out",_xlfn.ANCHORARRAY($Y5),"Labour",_xlfn.ANCHORARRAY(AJ5),"&gt;0"),IF(_xlpm.LabFreq=0,"",IF(_xlpm.LabFreq&lt;1, "every " &amp; ROUND(1/_xlpm.LabFreq,0) &amp; " years. ",IF(_xlpm.LabFreq=1, "once per year. ",IF(_xlpm.LabFreq&lt;10,INDEX(tbl_NumberWord[],_xlpm.LabFreq,2) &amp;" times per year. ",_xlpm.LabFreq&amp; " times per year. "))) ))</f>
        <v/>
      </c>
      <c r="BC5" s="45" t="str" cm="1">
        <f t="array" ref="BC5">_xlfn.LET(_xlpm.LabFreq, _xlfn.MAXIFS(_xlfn.ANCHORARRAY($Z5),_xlfn.ANCHORARRAY($W5),_xlfn.ANCHORARRAY($AM5),_xlfn.ANCHORARRAY($X5),"in",_xlfn.ANCHORARRAY($Y5),"Capital",_xlfn.ANCHORARRAY(AJ5),"&gt;0"),IF(_xlpm.LabFreq=0,"",IF(_xlpm.LabFreq&lt;1, "every " &amp; ROUND(1/_xlpm.LabFreq,0) &amp; " years. ",IF(_xlpm.LabFreq=1, "once per year. ",IF(_xlpm.LabFreq&lt;10,INDEX(tbl_NumberWord[],_xlpm.LabFreq,2)&amp; " times per year. ",_xlpm.LabFreq&amp; " times per year. "))) ))</f>
        <v/>
      </c>
      <c r="BD5" s="45" t="str" cm="1">
        <f t="array" ref="BD5">_xlfn.LET(_xlpm.LabFreq, _xlfn.MAXIFS(_xlfn.ANCHORARRAY($Z5),_xlfn.ANCHORARRAY($W5),_xlfn.ANCHORARRAY($AM5),_xlfn.ANCHORARRAY($X5),"out",_xlfn.ANCHORARRAY($Y5),"Capital",_xlfn.ANCHORARRAY(AJ5),"&gt;0"),IF(_xlpm.LabFreq=0,"",IF(_xlpm.LabFreq&lt;1, "every " &amp; ROUND(1/_xlpm.LabFreq,0) &amp; " years. ",IF(_xlpm.LabFreq=1, " once per year. ",IF(_xlpm.LabFreq&lt;10,INDEX(tbl_NumberWord[],_xlpm.LabFreq,2)&amp; " times per year. ",_xlpm.LabFreq&amp; " times per year. "))) ))</f>
        <v/>
      </c>
      <c r="BE5" s="8" t="str" cm="1">
        <f t="array" ref="BE5">_xlfn.LET(_xlpm.AvgWage, IFERROR(SUMIFS(_xlfn.ANCHORARRAY($AF5),_xlfn.ANCHORARRAY($W5),_xlfn.ANCHORARRAY($AM5),_xlfn.ANCHORARRAY($Y5),"Labour",_xlfn.ANCHORARRAY($X5),"In",_xlfn.ANCHORARRAY(AJ5),"&gt;0")/SUMIFS(_xlfn.ANCHORARRAY($AE5),_xlfn.ANCHORARRAY($W5),_xlfn.ANCHORARRAY($AM5),_xlfn.ANCHORARRAY($Y5),"Labour",_xlfn.ANCHORARRAY($X5),"In",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out",_xlfn.ANCHORARRAY(AJ5),"&gt;0")/SUMIFS(_xlfn.ANCHORARRAY($AE5),_xlfn.ANCHORARRAY($W5),_xlfn.ANCHORARRAY($AM5),_xlfn.ANCHORARRAY($Y5),"Labour",_xlfn.ANCHORARRAY($X5),"out",_xlfn.ANCHORARRAY(AJ5),"&gt;0"),0), IF(_xlpm.AvgWage=0,"", "The average wage (including overhead) of the responsible individual is estimated to be " &amp; DOLLAR(_xlpm.AvgWage,2)&amp; ". "))</f>
        <v/>
      </c>
      <c r="BG5" s="114" t="str" cm="1">
        <f t="array" ref="BG5">_xlfn.LET(_xlpm.AvgCapCost, IFERROR(SUMIFS(_xlfn.ANCHORARRAY($AH5),_xlfn.ANCHORARRAY($W5),_xlfn.ANCHORARRAY($AM5),_xlfn.ANCHORARRAY($Y5),"capital",_xlfn.ANCHORARRAY($X5),"In",_xlfn.ANCHORARRAY(AJ5),"&gt;0")/SUMIFS(_xlfn.ANCHORARRAY($AG5),_xlfn.ANCHORARRAY($W5),_xlfn.ANCHORARRAY($AM5),_xlfn.ANCHORARRAY($Y5),"Capital",_xlfn.ANCHORARRAY($X5),"In",_xlfn.ANCHORARRAY(AJ5),"&gt;0"),0), IF(_xlpm.AvgCapCost=0,"","an average of " &amp; DOLLAR(_xlpm.AvgCapCost,2) &amp; " per unit to purchase "))</f>
        <v/>
      </c>
      <c r="BH5" s="7" t="str" cm="1">
        <f t="array" ref="BH5">_xlfn.LET(_xlpm.AvgCapCost, IFERROR(SUMIFS(_xlfn.ANCHORARRAY($AH5),_xlfn.ANCHORARRAY($W5),_xlfn.ANCHORARRAY($AM5),_xlfn.ANCHORARRAY($Y5),"capital",_xlfn.ANCHORARRAY($X5),"out",_xlfn.ANCHORARRAY(AJ5),"&gt;0")/SUMIFS(_xlfn.ANCHORARRAY($AG5),_xlfn.ANCHORARRAY($W5),_xlfn.ANCHORARRAY($AM5),_xlfn.ANCHORARRAY($Y5),"Capital",_xlfn.ANCHORARRAY($X5),"out",_xlfn.ANCHORARRAY(AJ5),"&gt;0"),0), IF(_xlpm.AvgCapCost=0,"","an average of " &amp; DOLLAR(_xlpm.AvgCapCost,2) &amp; " per unit by not having to purchase "))</f>
        <v/>
      </c>
      <c r="BI5" s="8"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101"/>
      <c r="BK5" s="101"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8" t="str">
        <v xml:space="preserve">The amendments related to Activity Name Not Entered represent an annualized total  of $0. 
</v>
      </c>
    </row>
    <row r="6" spans="2:116" ht="30" x14ac:dyDescent="0.25">
      <c r="C6" s="80">
        <v>0.04</v>
      </c>
      <c r="D6">
        <v>14</v>
      </c>
      <c r="E6">
        <v>2016</v>
      </c>
      <c r="F6">
        <v>2020</v>
      </c>
      <c r="G6">
        <v>2027</v>
      </c>
      <c r="I6" t="str">
        <v>05 Middle management occupations in retail and wholesale trade and customer services ($43.58)</v>
      </c>
      <c r="J6">
        <v>43.579717514124297</v>
      </c>
      <c r="K6">
        <v>2030</v>
      </c>
      <c r="L6">
        <v>2031</v>
      </c>
      <c r="N6" s="1"/>
      <c r="R6" t="s">
        <v>212</v>
      </c>
      <c r="AB6" s="103"/>
      <c r="AN6" s="101"/>
      <c r="AO6" s="101"/>
      <c r="AR6" s="112"/>
      <c r="AX6" s="8"/>
      <c r="BF6" s="8"/>
      <c r="BG6" s="7"/>
      <c r="BH6" s="7"/>
      <c r="BI6" s="46"/>
    </row>
    <row r="7" spans="2:116" x14ac:dyDescent="0.25">
      <c r="C7" s="80">
        <v>0.05</v>
      </c>
      <c r="D7">
        <v>15</v>
      </c>
      <c r="E7">
        <v>2017</v>
      </c>
      <c r="F7">
        <v>2019</v>
      </c>
      <c r="G7">
        <v>2028</v>
      </c>
      <c r="I7" t="str">
        <v>06 Middle management occupations in trades, transportation, production and utilities ($51.21)</v>
      </c>
      <c r="J7">
        <v>51.21282485875706</v>
      </c>
      <c r="K7">
        <v>2031</v>
      </c>
      <c r="L7">
        <v>2032</v>
      </c>
      <c r="N7" s="3"/>
      <c r="O7" s="3"/>
      <c r="P7" s="3"/>
      <c r="R7" t="s">
        <v>213</v>
      </c>
      <c r="AN7" s="101"/>
      <c r="AO7" s="101"/>
      <c r="BG7" s="7"/>
      <c r="BH7" s="7"/>
      <c r="BI7" s="8"/>
    </row>
    <row r="8" spans="2:116" ht="74.25" customHeight="1" x14ac:dyDescent="0.25">
      <c r="C8" s="80">
        <v>6.0000000000000005E-2</v>
      </c>
      <c r="D8">
        <v>16</v>
      </c>
      <c r="E8">
        <v>2018</v>
      </c>
      <c r="F8">
        <v>2018</v>
      </c>
      <c r="G8">
        <v>2029</v>
      </c>
      <c r="I8" t="str">
        <v>07 Business, finance and administration occupations ($33.14)</v>
      </c>
      <c r="J8">
        <v>33.139668079096047</v>
      </c>
      <c r="K8">
        <v>2032</v>
      </c>
      <c r="L8">
        <v>2033</v>
      </c>
      <c r="N8" s="3"/>
      <c r="O8" s="3"/>
      <c r="P8" s="3"/>
      <c r="R8" t="s">
        <v>214</v>
      </c>
      <c r="AN8" s="101"/>
      <c r="AO8" s="101"/>
      <c r="BG8" s="7"/>
      <c r="BH8" s="7"/>
      <c r="BI8" s="8"/>
    </row>
    <row r="9" spans="2:116" x14ac:dyDescent="0.25">
      <c r="C9" s="80">
        <v>7.0000000000000007E-2</v>
      </c>
      <c r="D9">
        <v>17</v>
      </c>
      <c r="E9">
        <v>2019</v>
      </c>
      <c r="F9">
        <v>2017</v>
      </c>
      <c r="G9">
        <v>2030</v>
      </c>
      <c r="I9" t="str">
        <v>08 Professional occupations in business and finance ($43.39)</v>
      </c>
      <c r="J9">
        <v>43.391108757062149</v>
      </c>
      <c r="K9">
        <v>2033</v>
      </c>
      <c r="R9" t="s">
        <v>215</v>
      </c>
      <c r="AN9" s="101"/>
      <c r="AO9" s="101"/>
      <c r="BG9" s="7"/>
      <c r="BH9" s="7"/>
      <c r="BI9" s="8"/>
    </row>
    <row r="10" spans="2:116" x14ac:dyDescent="0.25">
      <c r="C10" s="80">
        <v>0.08</v>
      </c>
      <c r="D10">
        <v>18</v>
      </c>
      <c r="E10">
        <v>2020</v>
      </c>
      <c r="F10">
        <v>2016</v>
      </c>
      <c r="G10">
        <v>2031</v>
      </c>
      <c r="I10" t="str">
        <v>09 Administrative and financial supervisors and administrative occupations ($32.05)</v>
      </c>
      <c r="J10">
        <v>32.052394067796612</v>
      </c>
      <c r="P10" s="16"/>
      <c r="R10" s="142" t="str">
        <f>"The one-for-one rule applies. There is no incremental change in administrative burden on business. The proposal "
&amp; IF('Initiative Details'!D9&gt;1, "repeals " &amp; 'Initiative Details'!D9 &amp; " existing regulations ", IF('Initiative Details'!D9=1, "an existing regulation ", "does not repeal any existing regulations "))
&amp; "and it adds " &amp; IF('Initiative Details'!D10&gt;1, 'Initiative Details'!D10&amp; " new regulatory titles, ", "a new regulatory title, ") &amp; "which results in " &amp; IF('Initiative Details'!D10-'Initiative Details'!D9&lt;0, "a net decrease ",IF('Initiative Details'!D10-'Initiative Details'!D9&gt;0, "a net increase ", "no net increase or decrease in regulatory titles." )) &amp; "of " &amp; ABS('Initiative Details'!D9-'Initiative Details'!D10) &amp; " regulatory title"&amp;IF(ABS('Initiative Details'!D9-'Initiative Details'!D10)&gt;1,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101"/>
      <c r="AO10" s="101"/>
      <c r="BG10" s="7"/>
      <c r="BH10" s="7"/>
      <c r="BI10" s="8"/>
    </row>
    <row r="11" spans="2:116" x14ac:dyDescent="0.25">
      <c r="C11" s="80">
        <v>0.09</v>
      </c>
      <c r="D11">
        <v>19</v>
      </c>
      <c r="E11">
        <v>2021</v>
      </c>
      <c r="F11">
        <v>2015</v>
      </c>
      <c r="G11">
        <v>2032</v>
      </c>
      <c r="I11" t="str">
        <v>10 Finance, insurance and related business administrative occupations ($32.53)</v>
      </c>
      <c r="J11">
        <v>32.529463276836154</v>
      </c>
      <c r="AN11" s="101"/>
      <c r="AO11" s="101"/>
      <c r="BG11" s="7"/>
      <c r="BH11" s="7"/>
      <c r="BI11" s="8"/>
    </row>
    <row r="12" spans="2:116" ht="18" customHeight="1" x14ac:dyDescent="0.25">
      <c r="C12" s="80">
        <v>9.9999999999999992E-2</v>
      </c>
      <c r="D12">
        <v>20</v>
      </c>
      <c r="E12">
        <v>2022</v>
      </c>
      <c r="F12">
        <v>2014</v>
      </c>
      <c r="G12">
        <v>2033</v>
      </c>
      <c r="I12" t="str">
        <v>11 Office support occupations ($25.93)</v>
      </c>
      <c r="J12">
        <v>25.92815677966102</v>
      </c>
      <c r="R12" s="8"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 Details'!$D$6,Controls!$P$22:$P$26,Controls!$S$22:$S$26,"There is no change in the number of titles",0,1)</f>
        <v xml:space="preserve">The one for one rule does not apply as the changes in adminitrative burden on business offset each other, and no regulatory titles are repealed or introduced. </v>
      </c>
      <c r="S12" s="13"/>
      <c r="U12" s="13"/>
    </row>
    <row r="13" spans="2:116" ht="16.5" customHeight="1" x14ac:dyDescent="0.25">
      <c r="D13">
        <v>21</v>
      </c>
      <c r="E13">
        <v>2023</v>
      </c>
      <c r="F13">
        <v>2013</v>
      </c>
      <c r="G13">
        <v>2034</v>
      </c>
      <c r="I13" t="str">
        <v>12 Distribution, tracking and scheduling co-ordination occupations ($26.45)</v>
      </c>
      <c r="J13">
        <v>26.44960451977401</v>
      </c>
      <c r="R13" s="46" t="str">
        <f>IF('Initiative Details'!$D$6=$P$22, "The amendments ", "The regulations ") &amp; "would result in an annualized administrative "
&amp; IF(AND(COUNTIF(tbl_Activities[In or Out],"out")&gt;0,COUNTIF(tbl_Activities[In or Out],"in")&gt;0),"net ","total ")
&amp;IF(OneForOneLanding&lt;0,"cost of ","cost savings of ")
&amp;DOLLAR(ABS(OneForOneLanding),0)
&amp; ". " &amp; CHAR(10) &amp; R14 &amp; CHAR(10)
&amp;IF(AND(COUNTIF(tbl_Activities[In or Out],"out")&gt;0,COUNTIF(tbl_Activities[In or Out],"in")&gt;0), "The total annualized cost savings from reduced administrative burden is estimated to be " &amp; DOLLAR('One-for-one'!N40,0) &amp; ". " &amp; CHAR(10),  "")
&amp; IF(AND(COUNTIF(tbl_Activities[In or Out],"in")&gt;0,COUNTIF(tbl_Activities[In or Out],"out")&gt;0),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116" x14ac:dyDescent="0.25">
      <c r="D14">
        <v>22</v>
      </c>
      <c r="E14">
        <v>2024</v>
      </c>
      <c r="F14">
        <v>2012</v>
      </c>
      <c r="I14" t="str">
        <v>13 Natural and applied sciences and related occupations ($44.37)</v>
      </c>
      <c r="J14">
        <v>44.36743644067797</v>
      </c>
      <c r="R14" s="49"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13"/>
      <c r="BI14" s="8"/>
    </row>
    <row r="15" spans="2:116" x14ac:dyDescent="0.25">
      <c r="D15">
        <v>23</v>
      </c>
      <c r="E15">
        <v>2025</v>
      </c>
      <c r="F15">
        <v>2011</v>
      </c>
      <c r="I15" t="str">
        <v>14 Professional occupations in natural and applied sciences ($48.64)</v>
      </c>
      <c r="J15">
        <v>48.638870056497176</v>
      </c>
    </row>
    <row r="16" spans="2:116" x14ac:dyDescent="0.25">
      <c r="D16">
        <v>24</v>
      </c>
      <c r="E16">
        <v>2026</v>
      </c>
      <c r="F16">
        <v>2010</v>
      </c>
      <c r="I16" t="str">
        <v>15 Technical occupations related to natural and applied sciences ($36.92)</v>
      </c>
      <c r="J16">
        <v>36.922937853107342</v>
      </c>
      <c r="R16" t="s">
        <v>216</v>
      </c>
    </row>
    <row r="17" spans="4:21" x14ac:dyDescent="0.25">
      <c r="D17">
        <v>25</v>
      </c>
      <c r="E17">
        <v>2027</v>
      </c>
      <c r="F17">
        <v>2009</v>
      </c>
      <c r="I17" t="str">
        <v>16 Health occupations ($35.34)</v>
      </c>
      <c r="J17">
        <v>35.336405367231642</v>
      </c>
      <c r="R17" t="s">
        <v>217</v>
      </c>
    </row>
    <row r="18" spans="4:21" x14ac:dyDescent="0.25">
      <c r="D18">
        <v>26</v>
      </c>
      <c r="E18">
        <v>2028</v>
      </c>
      <c r="F18">
        <v>2008</v>
      </c>
      <c r="I18" t="str">
        <v>17 Professional occupations in nursing ($43.92)</v>
      </c>
      <c r="J18">
        <v>43.923651129943501</v>
      </c>
    </row>
    <row r="19" spans="4:21" x14ac:dyDescent="0.25">
      <c r="D19">
        <v>27</v>
      </c>
      <c r="E19">
        <v>2029</v>
      </c>
      <c r="F19">
        <v>2007</v>
      </c>
      <c r="I19" t="str">
        <v>18 Professional occupations in health (except nursing) ($46.16)</v>
      </c>
      <c r="J19">
        <v>46.164766949152543</v>
      </c>
    </row>
    <row r="20" spans="4:21" x14ac:dyDescent="0.25">
      <c r="D20">
        <v>28</v>
      </c>
      <c r="E20">
        <v>2030</v>
      </c>
      <c r="F20">
        <v>2006</v>
      </c>
      <c r="I20" t="str">
        <v>19 Technical occupations in health ($33.05)</v>
      </c>
      <c r="J20">
        <v>33.050911016949151</v>
      </c>
    </row>
    <row r="21" spans="4:21" x14ac:dyDescent="0.25">
      <c r="D21">
        <v>29</v>
      </c>
      <c r="E21">
        <v>2031</v>
      </c>
      <c r="F21">
        <v>2005</v>
      </c>
      <c r="I21" t="str">
        <v>20 Assisting occupations in support of health services ($24.59)</v>
      </c>
      <c r="J21">
        <v>24.585706214689264</v>
      </c>
      <c r="Q21" t="s">
        <v>218</v>
      </c>
      <c r="R21" t="s">
        <v>219</v>
      </c>
      <c r="U21" t="str">
        <f>_xlfn.XLOOKUP('Initiative Details'!$D$6,Controls!$P$22:$P$26,Controls!$U$22:$U$26,0,0,1)</f>
        <v xml:space="preserve">The amendments related to </v>
      </c>
    </row>
    <row r="22" spans="4:21" x14ac:dyDescent="0.25">
      <c r="D22">
        <v>30</v>
      </c>
      <c r="E22">
        <v>2032</v>
      </c>
      <c r="F22">
        <v>2004</v>
      </c>
      <c r="I22" t="str">
        <v>21 Occupations in education, law and social, community and government services ($39.23)</v>
      </c>
      <c r="J22">
        <v>39.23062146892655</v>
      </c>
      <c r="P22" t="s">
        <v>3</v>
      </c>
      <c r="Q22">
        <v>0</v>
      </c>
      <c r="R22">
        <v>0</v>
      </c>
      <c r="S22" t="s">
        <v>220</v>
      </c>
      <c r="U22" t="str">
        <f>"The amendments related to "</f>
        <v xml:space="preserve">The amendments related to </v>
      </c>
    </row>
    <row r="23" spans="4:21" x14ac:dyDescent="0.25">
      <c r="D23">
        <v>31</v>
      </c>
      <c r="E23">
        <v>2033</v>
      </c>
      <c r="F23">
        <v>2003</v>
      </c>
      <c r="I23" t="str">
        <v>22 Professional occupations in education services ($44.35)</v>
      </c>
      <c r="J23">
        <v>44.345247175141239</v>
      </c>
      <c r="P23" t="s">
        <v>221</v>
      </c>
      <c r="Q23">
        <v>0</v>
      </c>
      <c r="R23">
        <v>1</v>
      </c>
      <c r="S23" t="s">
        <v>222</v>
      </c>
      <c r="U23" t="str">
        <f>"The new administrative requirements related to "</f>
        <v xml:space="preserve">The new administrative requirements related to </v>
      </c>
    </row>
    <row r="24" spans="4:21" x14ac:dyDescent="0.25">
      <c r="D24">
        <v>32</v>
      </c>
      <c r="E24">
        <v>2034</v>
      </c>
      <c r="F24">
        <v>2002</v>
      </c>
      <c r="I24" t="str">
        <v>23 Professional occupations in law and social, community and government services ($44.41)</v>
      </c>
      <c r="J24">
        <v>44.411814971751411</v>
      </c>
      <c r="P24" t="s">
        <v>223</v>
      </c>
      <c r="Q24">
        <v>1</v>
      </c>
      <c r="R24">
        <v>0</v>
      </c>
      <c r="S24" t="s">
        <v>224</v>
      </c>
      <c r="U24" t="str">
        <f>" The repeal of administrative requirements related to "</f>
        <v xml:space="preserve"> The repeal of administrative requirements related to </v>
      </c>
    </row>
    <row r="25" spans="4:21" x14ac:dyDescent="0.25">
      <c r="D25">
        <v>33</v>
      </c>
      <c r="E25">
        <v>2035</v>
      </c>
      <c r="I25" t="str">
        <v>24 Paraprofessional occupations in legal, social, community and education services ($26.52)</v>
      </c>
      <c r="J25">
        <v>26.516172316384178</v>
      </c>
      <c r="P25" t="s">
        <v>225</v>
      </c>
      <c r="Q25">
        <v>1</v>
      </c>
      <c r="R25">
        <v>1</v>
      </c>
      <c r="S25" t="s">
        <v>226</v>
      </c>
      <c r="U25" t="str">
        <f>"The administrative requirements related to "</f>
        <v xml:space="preserve">The administrative requirements related to </v>
      </c>
    </row>
    <row r="26" spans="4:21" x14ac:dyDescent="0.25">
      <c r="D26">
        <v>34</v>
      </c>
      <c r="E26">
        <v>2036</v>
      </c>
      <c r="I26" t="str">
        <v>25 Occupations in front-line public protection services ($49.20)</v>
      </c>
      <c r="J26">
        <v>49.204696327683621</v>
      </c>
      <c r="P26" t="s">
        <v>227</v>
      </c>
      <c r="Q26" t="s">
        <v>228</v>
      </c>
      <c r="R26">
        <v>1</v>
      </c>
      <c r="S26" t="str">
        <f>_xlfn.CONCAT("the proposal repeals ", _xlfn.XLOOKUP('Initiative Details'!$D$9,$P$34:$P$43,Q34:Q43,'Initiative Details'!$D$9,0,1), " existing regulatory titles and adds ", _xlfn.XLOOKUP('Initiative Details'!$D$10,$P$34:$P$43,Q34:Q43,'Initiative Details'!$D$10,0,1), " new regulatory title; as a result, a net of ",_xlfn.XLOOKUP(ABS('Initiative Details'!$D$9 -'Initiative Details'!$D$10),$P$34:$P$43,Q34:Q43,ABS('Initiative Details'!$D$9 -'Initiative Details'!$D$10),0,1)," titles ", IF('Initiative Details'!$D$9 -'Initiative Details'!$D$10&lt;0,"in","out"),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25">
      <c r="D27">
        <v>35</v>
      </c>
      <c r="E27">
        <v>2037</v>
      </c>
      <c r="I27" t="str">
        <v>26 Care providers and educational, legal and public protection support occupations ($26.47)</v>
      </c>
      <c r="J27">
        <v>26.471793785310734</v>
      </c>
    </row>
    <row r="28" spans="4:21" x14ac:dyDescent="0.25">
      <c r="D28">
        <v>36</v>
      </c>
      <c r="E28">
        <v>2038</v>
      </c>
      <c r="I28" t="str">
        <v>27 Occupations in art, culture, recreation and sport ($31.49)</v>
      </c>
      <c r="J28">
        <v>31.486567796610167</v>
      </c>
    </row>
    <row r="29" spans="4:21" x14ac:dyDescent="0.25">
      <c r="D29">
        <v>37</v>
      </c>
      <c r="E29">
        <v>2039</v>
      </c>
      <c r="I29" t="str">
        <v>28 Professional occupations in art and culture ($36.39)</v>
      </c>
      <c r="J29">
        <v>36.390395480225983</v>
      </c>
    </row>
    <row r="30" spans="4:21" x14ac:dyDescent="0.25">
      <c r="D30">
        <v>38</v>
      </c>
      <c r="E30">
        <v>2040</v>
      </c>
      <c r="I30" t="str">
        <v>29 Technical occupations in art, culture, recreation and sport ($29.49)</v>
      </c>
      <c r="J30">
        <v>29.489533898305083</v>
      </c>
    </row>
    <row r="31" spans="4:21" x14ac:dyDescent="0.25">
      <c r="D31">
        <v>39</v>
      </c>
      <c r="E31">
        <v>2041</v>
      </c>
      <c r="I31" t="str">
        <v>30 Sales and service occupations ($21.69)</v>
      </c>
      <c r="J31">
        <v>21.690007062146893</v>
      </c>
    </row>
    <row r="32" spans="4:21" x14ac:dyDescent="0.25">
      <c r="D32">
        <v>40</v>
      </c>
      <c r="E32">
        <v>2042</v>
      </c>
      <c r="I32" t="str">
        <v>31 Retail sales supervisors and specialized sales occupations ($28.28)</v>
      </c>
      <c r="J32">
        <v>28.280218926553673</v>
      </c>
    </row>
    <row r="33" spans="4:21" x14ac:dyDescent="0.25">
      <c r="D33">
        <v>41</v>
      </c>
      <c r="E33">
        <v>2043</v>
      </c>
      <c r="I33" t="str">
        <v>32 Service supervisors and specialized service occupations ($22.01)</v>
      </c>
      <c r="J33">
        <v>22.01175141242938</v>
      </c>
      <c r="P33" t="s">
        <v>229</v>
      </c>
      <c r="Q33" t="s">
        <v>230</v>
      </c>
    </row>
    <row r="34" spans="4:21" x14ac:dyDescent="0.25">
      <c r="D34">
        <v>42</v>
      </c>
      <c r="E34">
        <v>2044</v>
      </c>
      <c r="I34" t="str">
        <v>33 Sales representatives and salespersons - wholesale and retail trade ($22.68)</v>
      </c>
      <c r="J34">
        <v>22.677429378531077</v>
      </c>
      <c r="P34">
        <v>1</v>
      </c>
      <c r="Q34" t="s">
        <v>231</v>
      </c>
    </row>
    <row r="35" spans="4:21" x14ac:dyDescent="0.25">
      <c r="D35">
        <v>43</v>
      </c>
      <c r="E35">
        <v>2045</v>
      </c>
      <c r="I35" t="str">
        <v>34 Service representatives and other customer and personal services occupations ($21.82)</v>
      </c>
      <c r="J35">
        <v>21.823142655367235</v>
      </c>
      <c r="P35">
        <v>2</v>
      </c>
      <c r="Q35" t="s">
        <v>232</v>
      </c>
    </row>
    <row r="36" spans="4:21" x14ac:dyDescent="0.25">
      <c r="D36">
        <v>44</v>
      </c>
      <c r="E36">
        <v>2046</v>
      </c>
      <c r="I36" t="str">
        <v>35 Sales support occupations ($17.14)</v>
      </c>
      <c r="J36">
        <v>17.141207627118643</v>
      </c>
      <c r="P36">
        <v>3</v>
      </c>
      <c r="Q36" t="s">
        <v>233</v>
      </c>
      <c r="S36" s="7"/>
    </row>
    <row r="37" spans="4:21" x14ac:dyDescent="0.25">
      <c r="D37">
        <v>45</v>
      </c>
      <c r="E37">
        <v>2047</v>
      </c>
      <c r="I37" t="str">
        <v>36 Service support and other service occupations, n.e.c. ($19.46)</v>
      </c>
      <c r="J37">
        <v>19.459985875706213</v>
      </c>
      <c r="P37">
        <v>4</v>
      </c>
      <c r="Q37" t="s">
        <v>234</v>
      </c>
    </row>
    <row r="38" spans="4:21" x14ac:dyDescent="0.25">
      <c r="D38">
        <v>46</v>
      </c>
      <c r="E38">
        <v>2048</v>
      </c>
      <c r="I38" t="str">
        <v>37 Trades, transport and equipment operators and related occupations ($31.81)</v>
      </c>
      <c r="J38">
        <v>31.808312146892654</v>
      </c>
      <c r="P38">
        <v>5</v>
      </c>
      <c r="Q38" t="s">
        <v>235</v>
      </c>
    </row>
    <row r="39" spans="4:21" x14ac:dyDescent="0.25">
      <c r="D39">
        <v>47</v>
      </c>
      <c r="E39">
        <v>2049</v>
      </c>
      <c r="I39" t="str">
        <v>38 Industrial, electrical and construction trades ($35.58)</v>
      </c>
      <c r="J39">
        <v>35.580487288135593</v>
      </c>
      <c r="P39">
        <v>6</v>
      </c>
      <c r="Q39" t="s">
        <v>236</v>
      </c>
    </row>
    <row r="40" spans="4:21" x14ac:dyDescent="0.25">
      <c r="D40">
        <v>48</v>
      </c>
      <c r="E40">
        <v>2050</v>
      </c>
      <c r="I40" t="str">
        <v>39 Maintenance and equipment operation trades ($36.11)</v>
      </c>
      <c r="J40">
        <v>36.113029661016945</v>
      </c>
      <c r="P40">
        <v>7</v>
      </c>
      <c r="Q40" t="s">
        <v>237</v>
      </c>
    </row>
    <row r="41" spans="4:21" x14ac:dyDescent="0.25">
      <c r="D41">
        <v>49</v>
      </c>
      <c r="I41" t="str">
        <v>40 Other installers, repairers and servicers and material handlers ($24.55)</v>
      </c>
      <c r="J41">
        <v>24.552422316384177</v>
      </c>
      <c r="P41">
        <v>8</v>
      </c>
      <c r="Q41" t="s">
        <v>238</v>
      </c>
    </row>
    <row r="42" spans="4:21" x14ac:dyDescent="0.25">
      <c r="D42">
        <v>50</v>
      </c>
      <c r="I42" t="str">
        <v>41 Transport and heavy equipment operation and related maintenance occupations ($27.68)</v>
      </c>
      <c r="J42">
        <v>27.681108757062145</v>
      </c>
      <c r="P42">
        <v>9</v>
      </c>
      <c r="Q42" t="s">
        <v>239</v>
      </c>
      <c r="T42" s="18"/>
      <c r="U42" s="8"/>
    </row>
    <row r="43" spans="4:21" x14ac:dyDescent="0.25">
      <c r="D43">
        <v>51</v>
      </c>
      <c r="I43" t="str">
        <v>42 Trades helpers, construction labourers and related occupations ($26.73)</v>
      </c>
      <c r="J43">
        <v>26.726970338983051</v>
      </c>
      <c r="P43">
        <v>10</v>
      </c>
      <c r="Q43" t="s">
        <v>240</v>
      </c>
      <c r="T43" s="8"/>
      <c r="U43" s="19"/>
    </row>
    <row r="44" spans="4:21" x14ac:dyDescent="0.25">
      <c r="D44">
        <v>52</v>
      </c>
      <c r="I44" t="str">
        <v>43 Natural resources, agriculture and related production occupations ($28.82)</v>
      </c>
      <c r="J44">
        <v>28.82385593220339</v>
      </c>
      <c r="P44">
        <v>20</v>
      </c>
      <c r="Q44" t="s">
        <v>241</v>
      </c>
    </row>
    <row r="45" spans="4:21" x14ac:dyDescent="0.25">
      <c r="D45">
        <v>53</v>
      </c>
      <c r="I45" t="str">
        <v>44 Supervisors and technical occupations in natural resources, agriculture and related production ($39.19)</v>
      </c>
      <c r="J45">
        <v>39.186242937853109</v>
      </c>
      <c r="P45">
        <v>30</v>
      </c>
      <c r="Q45" t="s">
        <v>242</v>
      </c>
    </row>
    <row r="46" spans="4:21" x14ac:dyDescent="0.25">
      <c r="D46">
        <v>54</v>
      </c>
      <c r="I46" t="str">
        <v>45 Workers in natural resources, agriculture and related production ($23.29)</v>
      </c>
      <c r="J46">
        <v>23.28763418079096</v>
      </c>
      <c r="P46">
        <v>40</v>
      </c>
      <c r="Q46" t="s">
        <v>243</v>
      </c>
    </row>
    <row r="47" spans="4:21" x14ac:dyDescent="0.25">
      <c r="D47">
        <v>55</v>
      </c>
      <c r="I47" t="str">
        <v>46 Harvesting, landscaping and natural resources labourers ($23.48)</v>
      </c>
      <c r="J47">
        <v>23.476242937853108</v>
      </c>
      <c r="P47">
        <v>50</v>
      </c>
      <c r="Q47" t="s">
        <v>244</v>
      </c>
    </row>
    <row r="48" spans="4:21" x14ac:dyDescent="0.25">
      <c r="D48">
        <v>56</v>
      </c>
      <c r="I48" t="str">
        <v>47 Occupations in manufacturing and utilities ($27.57)</v>
      </c>
      <c r="J48">
        <v>27.570162429378531</v>
      </c>
      <c r="P48">
        <v>100</v>
      </c>
      <c r="Q48" t="s">
        <v>245</v>
      </c>
    </row>
    <row r="49" spans="4:19" x14ac:dyDescent="0.25">
      <c r="D49">
        <v>57</v>
      </c>
      <c r="I49" t="str">
        <v>48 Processing, manufacturing and utilities supervisors and central control operators ($38.89)</v>
      </c>
      <c r="J49">
        <v>38.88668785310734</v>
      </c>
    </row>
    <row r="50" spans="4:19" x14ac:dyDescent="0.25">
      <c r="D50">
        <v>58</v>
      </c>
      <c r="I50" t="str">
        <v>49 Processing and manufacturing machine operators and related production workers ($24.82)</v>
      </c>
      <c r="J50">
        <v>24.818693502824861</v>
      </c>
    </row>
    <row r="51" spans="4:19" x14ac:dyDescent="0.25">
      <c r="D51">
        <v>59</v>
      </c>
      <c r="I51" t="str">
        <v>50 Assemblers in manufacturing ($25.45)</v>
      </c>
      <c r="J51">
        <v>25.451087570621471</v>
      </c>
    </row>
    <row r="52" spans="4:19" x14ac:dyDescent="0.25">
      <c r="D52">
        <v>60</v>
      </c>
      <c r="I52" t="str">
        <v>51 Labourers in processing, manufacturing and utilities ($21.76)</v>
      </c>
      <c r="J52">
        <v>21.756574858757062</v>
      </c>
    </row>
    <row r="53" spans="4:19" x14ac:dyDescent="0.25">
      <c r="D53">
        <v>61</v>
      </c>
      <c r="I53" t="str">
        <v>52 Enter the first custom wage in this row (custom wage not added yet)</v>
      </c>
      <c r="J53" t="str">
        <v/>
      </c>
    </row>
    <row r="54" spans="4:19" x14ac:dyDescent="0.25">
      <c r="D54">
        <v>62</v>
      </c>
      <c r="R54" s="48"/>
    </row>
    <row r="55" spans="4:19" x14ac:dyDescent="0.25">
      <c r="D55">
        <v>63</v>
      </c>
    </row>
    <row r="56" spans="4:19" x14ac:dyDescent="0.25">
      <c r="D56">
        <v>64</v>
      </c>
    </row>
    <row r="57" spans="4:19" x14ac:dyDescent="0.25">
      <c r="D57">
        <v>65</v>
      </c>
    </row>
    <row r="58" spans="4:19" x14ac:dyDescent="0.25">
      <c r="D58">
        <v>66</v>
      </c>
      <c r="P58" s="8"/>
      <c r="R58" s="17"/>
      <c r="S58" s="45"/>
    </row>
    <row r="59" spans="4:19" x14ac:dyDescent="0.25">
      <c r="D59">
        <v>67</v>
      </c>
      <c r="S59" s="45"/>
    </row>
    <row r="60" spans="4:19" x14ac:dyDescent="0.25">
      <c r="D60">
        <v>68</v>
      </c>
      <c r="S60" s="45"/>
    </row>
    <row r="61" spans="4:19" x14ac:dyDescent="0.25">
      <c r="D61">
        <v>69</v>
      </c>
    </row>
    <row r="62" spans="4:19" x14ac:dyDescent="0.25">
      <c r="D62">
        <v>70</v>
      </c>
    </row>
    <row r="63" spans="4:19" x14ac:dyDescent="0.25">
      <c r="D63">
        <v>71</v>
      </c>
    </row>
    <row r="64" spans="4:19" x14ac:dyDescent="0.25">
      <c r="D64">
        <v>72</v>
      </c>
      <c r="Q64" s="17"/>
      <c r="R64" s="7"/>
    </row>
    <row r="65" spans="4:4" x14ac:dyDescent="0.25">
      <c r="D65">
        <v>73</v>
      </c>
    </row>
    <row r="66" spans="4:4" x14ac:dyDescent="0.25">
      <c r="D66">
        <v>74</v>
      </c>
    </row>
    <row r="67" spans="4:4" x14ac:dyDescent="0.25">
      <c r="D67">
        <v>75</v>
      </c>
    </row>
    <row r="68" spans="4:4" x14ac:dyDescent="0.25">
      <c r="D68">
        <v>76</v>
      </c>
    </row>
    <row r="69" spans="4:4" x14ac:dyDescent="0.25">
      <c r="D69">
        <v>77</v>
      </c>
    </row>
    <row r="70" spans="4:4" x14ac:dyDescent="0.25">
      <c r="D70">
        <v>78</v>
      </c>
    </row>
    <row r="71" spans="4:4" x14ac:dyDescent="0.25">
      <c r="D71">
        <v>79</v>
      </c>
    </row>
    <row r="72" spans="4:4" x14ac:dyDescent="0.25">
      <c r="D72">
        <v>80</v>
      </c>
    </row>
    <row r="73" spans="4:4" x14ac:dyDescent="0.25">
      <c r="D73">
        <v>81</v>
      </c>
    </row>
    <row r="74" spans="4:4" x14ac:dyDescent="0.25">
      <c r="D74">
        <v>82</v>
      </c>
    </row>
    <row r="75" spans="4:4" x14ac:dyDescent="0.25">
      <c r="D75">
        <v>83</v>
      </c>
    </row>
    <row r="76" spans="4:4" x14ac:dyDescent="0.25">
      <c r="D76">
        <v>84</v>
      </c>
    </row>
    <row r="77" spans="4:4" x14ac:dyDescent="0.25">
      <c r="D77">
        <v>85</v>
      </c>
    </row>
    <row r="78" spans="4:4" x14ac:dyDescent="0.25">
      <c r="D78">
        <v>86</v>
      </c>
    </row>
    <row r="79" spans="4:4" x14ac:dyDescent="0.25">
      <c r="D79">
        <v>87</v>
      </c>
    </row>
    <row r="80" spans="4:4" x14ac:dyDescent="0.25">
      <c r="D80">
        <v>88</v>
      </c>
    </row>
    <row r="81" spans="4:4" x14ac:dyDescent="0.25">
      <c r="D81">
        <v>89</v>
      </c>
    </row>
    <row r="82" spans="4:4" x14ac:dyDescent="0.25">
      <c r="D82">
        <v>90</v>
      </c>
    </row>
    <row r="83" spans="4:4" x14ac:dyDescent="0.25">
      <c r="D83">
        <v>91</v>
      </c>
    </row>
    <row r="84" spans="4:4" x14ac:dyDescent="0.25">
      <c r="D84">
        <v>92</v>
      </c>
    </row>
    <row r="85" spans="4:4" x14ac:dyDescent="0.25">
      <c r="D85">
        <v>93</v>
      </c>
    </row>
    <row r="86" spans="4:4" x14ac:dyDescent="0.25">
      <c r="D86">
        <v>94</v>
      </c>
    </row>
    <row r="87" spans="4:4" x14ac:dyDescent="0.25">
      <c r="D87">
        <v>95</v>
      </c>
    </row>
    <row r="88" spans="4:4" x14ac:dyDescent="0.25">
      <c r="D88">
        <v>96</v>
      </c>
    </row>
    <row r="89" spans="4:4" x14ac:dyDescent="0.25">
      <c r="D89">
        <v>97</v>
      </c>
    </row>
    <row r="90" spans="4:4" x14ac:dyDescent="0.25">
      <c r="D90">
        <v>98</v>
      </c>
    </row>
    <row r="91" spans="4:4" x14ac:dyDescent="0.25">
      <c r="D91">
        <v>99</v>
      </c>
    </row>
    <row r="92" spans="4:4" x14ac:dyDescent="0.25">
      <c r="D92">
        <v>100</v>
      </c>
    </row>
  </sheetData>
  <dataValidations disablePrompts="1" count="1">
    <dataValidation type="list" allowBlank="1" showInputMessage="1" showErrorMessage="1" sqref="H2" xr:uid="{3773CA78-172A-4EB1-B7EB-1325FCACBFA7}">
      <formula1>"0, 2"</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 
</file>

<file path=customXml/itemProps1.xml><?xml version="1.0" encoding="utf-8"?>
<ds:datastoreItem xmlns:ds="http://schemas.openxmlformats.org/officeDocument/2006/customXml" ds:itemID="{D95EDFCC-17C6-45ED-BE18-15C465AE308F}">
  <ds:schemaRefs>
    <ds:schemaRef ds:uri="http://www.w3.org/XML/1998/namespace"/>
    <ds:schemaRef ds:uri="4e83f676-8cd4-4cac-9a4e-1c9624eae427"/>
    <ds:schemaRef ds:uri="http://purl.org/dc/elements/1.1/"/>
    <ds:schemaRef ds:uri="http://schemas.microsoft.com/office/infopath/2007/PartnerControls"/>
    <ds:schemaRef ds:uri="http://schemas.microsoft.com/office/2006/documentManagement/types"/>
    <ds:schemaRef ds:uri="http://purl.org/dc/dcmitype/"/>
    <ds:schemaRef ds:uri="http://schemas.microsoft.com/office/2006/metadata/properties"/>
    <ds:schemaRef ds:uri="http://purl.org/dc/terms/"/>
    <ds:schemaRef ds:uri="http://schemas.openxmlformats.org/package/2006/metadata/core-properties"/>
    <ds:schemaRef ds:uri="2abf2189-68c2-4ddb-adff-1183eca9c339"/>
  </ds:schemaRefs>
</ds:datastoreItem>
</file>

<file path=customXml/itemProps2.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4.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5.xml><?xml version="1.0" encoding="utf-8"?>
<ds:datastoreItem xmlns:ds="http://schemas.openxmlformats.org/officeDocument/2006/customXml" ds:itemID="{AAF567B0-53AE-4976-9FEF-74BC92060D80}">
  <ds:schemaRefs>
    <ds:schemaRef ds:uri="http://schemas.microsoft.com/DataMashup"/>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29</vt:i4>
      </vt:variant>
    </vt:vector>
  </HeadingPairs>
  <TitlesOfParts>
    <vt:vector size="45" baseType="lpstr">
      <vt:lpstr>Read Me</vt:lpstr>
      <vt:lpstr>Initiative Details</vt:lpstr>
      <vt:lpstr>Stakeholder Profile</vt:lpstr>
      <vt:lpstr>Activities</vt:lpstr>
      <vt:lpstr>One-for-one</vt:lpstr>
      <vt:lpstr>Small Business Lens</vt:lpstr>
      <vt:lpstr>Annual Stakeholder Count</vt:lpstr>
      <vt:lpstr>Impact</vt:lpstr>
      <vt:lpstr>Impact by Activity</vt:lpstr>
      <vt:lpstr>Impact by Stakeholder</vt:lpstr>
      <vt:lpstr>Impact by Activity+Stakeholder</vt:lpstr>
      <vt:lpstr>Cost-benefit Statement</vt:lpstr>
      <vt:lpstr>Labour</vt:lpstr>
      <vt:lpstr>CPI</vt:lpstr>
      <vt:lpstr>Full Output</vt:lpstr>
      <vt:lpstr>Controls</vt:lpstr>
      <vt:lpstr>ActivityLanding</vt:lpstr>
      <vt:lpstr>AF</vt:lpstr>
      <vt:lpstr>AF_7_10</vt:lpstr>
      <vt:lpstr>AnnualStakeholderCounts</vt:lpstr>
      <vt:lpstr>CostBenefitStatementLanding</vt:lpstr>
      <vt:lpstr>Custom_Labour</vt:lpstr>
      <vt:lpstr>Discount</vt:lpstr>
      <vt:lpstr>FormulasLanding</vt:lpstr>
      <vt:lpstr>FullOutputLanding</vt:lpstr>
      <vt:lpstr>ImpactByActivityAndStakeholderLanding</vt:lpstr>
      <vt:lpstr>ImpactsByActivityLanding</vt:lpstr>
      <vt:lpstr>ImpactsByStakeholderLanding</vt:lpstr>
      <vt:lpstr>ImpactsLanding</vt:lpstr>
      <vt:lpstr>InitiativeDetailsLanding</vt:lpstr>
      <vt:lpstr>List_Amendment_Repeal</vt:lpstr>
      <vt:lpstr>List_New_Regulation_Repeal</vt:lpstr>
      <vt:lpstr>List_Repeal_and_Replace_Repeal</vt:lpstr>
      <vt:lpstr>List_Repeal_Only</vt:lpstr>
      <vt:lpstr>OneForOneLanding</vt:lpstr>
      <vt:lpstr>OneforOneText</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dcterms:created xsi:type="dcterms:W3CDTF">2024-04-02T17:30:06Z</dcterms:created>
  <dcterms:modified xsi:type="dcterms:W3CDTF">2025-01-21T17:24:01Z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