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3.xml" ContentType="application/vnd.openxmlformats-officedocument.spreadsheetml.table+xml"/>
  <Override PartName="/xl/drawings/drawing12.xml" ContentType="application/vnd.openxmlformats-officedocument.drawing+xml"/>
  <Override PartName="/xl/tables/table4.xml" ContentType="application/vnd.openxmlformats-officedocument.spreadsheetml.table+xml"/>
  <Override PartName="/xl/queryTables/queryTable1.xml" ContentType="application/vnd.openxmlformats-officedocument.spreadsheetml.queryTable+xml"/>
  <Override PartName="/xl/drawings/drawing13.xml" ContentType="application/vnd.openxmlformats-officedocument.drawing+xml"/>
  <Override PartName="/xl/drawings/drawing14.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andrew.reid\Documents\RCC\"/>
    </mc:Choice>
  </mc:AlternateContent>
  <xr:revisionPtr revIDLastSave="0" documentId="13_ncr:1_{85D08BBF-D02E-4FF4-AB00-C69DC997CBA2}" xr6:coauthVersionLast="47" xr6:coauthVersionMax="47" xr10:uidLastSave="{00000000-0000-0000-0000-000000000000}"/>
  <bookViews>
    <workbookView xWindow="28680" yWindow="-5670" windowWidth="38640" windowHeight="21240" tabRatio="933" xr2:uid="{B31DFA44-6D76-4043-A2DA-831727713083}"/>
  </bookViews>
  <sheets>
    <sheet name="Read Me" sheetId="31" r:id="rId1"/>
    <sheet name="Initiative Details" sheetId="1" r:id="rId2"/>
    <sheet name="Stakeholder Profile" sheetId="8" r:id="rId3"/>
    <sheet name="Activities" sheetId="6" r:id="rId4"/>
    <sheet name="One-for-one" sheetId="9" r:id="rId5"/>
    <sheet name="Small Business Lens" sheetId="19" r:id="rId6"/>
    <sheet name="Annual Stakeholder Count" sheetId="37" r:id="rId7"/>
    <sheet name="Net Impacts" sheetId="34" r:id="rId8"/>
    <sheet name="Net Impacts by Activity" sheetId="35" r:id="rId9"/>
    <sheet name="Net Impacts by Stakeholder" sheetId="38" r:id="rId10"/>
    <sheet name="Labour" sheetId="18" r:id="rId11"/>
    <sheet name="CPI" sheetId="4" r:id="rId12"/>
    <sheet name="Full Output" sheetId="22" r:id="rId13"/>
    <sheet name="Controls" sheetId="10" r:id="rId14"/>
  </sheets>
  <definedNames>
    <definedName name="_xlnm._FilterDatabase" localSheetId="3" hidden="1">Activities!#REF!</definedName>
    <definedName name="_xlnm._FilterDatabase" localSheetId="12" hidden="1">'Full Output'!$B$1:$X$43</definedName>
    <definedName name="_xlnm._FilterDatabase" localSheetId="2" hidden="1">'Stakeholder Profile'!#REF!</definedName>
    <definedName name="ActivityLanding">tbl_Activities[[#Headers],[Activity]]</definedName>
    <definedName name="ActivityNumber">_xlfn.SEQUENCE(ROWS(tbl_Activities[Activity]))</definedName>
    <definedName name="ActivityType">_xlfn.LET(  _xlpm.Start, IF(tbl_Activities[Start Year]="Start of Analytical Period", YearOfRegistration, IF(tbl_Activities[Start Year]="End of Analytical Period", YearOfRegistration+Timeperiod-1, tbl_Activities[Start Year])),  _xlpm.End, IF(tbl_Activities[End Year]="Start of Analytical Period", YearOfRegistration, IF(tbl_Activities[End Year]="End of Analytical Period", YearOfRegistration+Timeperiod-1, tbl_Activities[End Year])),  _xlpm.Ongoing, tbl_Activities[Upfront or  Ongoing]="Ongoing", _xlpm.Upfront, tbl_Activities[Upfront or  Ongoing]="Upfront", _xlpm.Existing, tbl_Activities[Apply to Existing Stakeholders]=TRUE, _xlpm.New, tbl_Activities[Apply to New Entrants]=TRUE,  IF(_xlpm.Start&gt;_xlpm.End, 0, IF(--_xlpm.Ongoing+--_xlpm.Existing+--_xlpm.New=3, 1, IF(--_xlpm.Ongoing+--_xlpm.Existing=2, 2, IF(--_xlpm.Ongoing+--_xlpm.New=2, 3, IF(--_xlpm.Upfront+--_xlpm.Existing+--_xlpm.New=3, 4, IF(--_xlpm.Upfront+--_xlpm.Existing=2, 5, IF(--_xlpm.Upfront+--_xlpm.New=2, 6, 0))))))))</definedName>
    <definedName name="AF">Controls!$O$4</definedName>
    <definedName name="AF_7_10">Controls!$O$3</definedName>
    <definedName name="AffectedGroup">MATCH(INDEX(tbl_Activities[Affected Stakeholder Group],_xlfn.ANCHORARRAY( 'Full Output'!$A$2)), tbl_Stakeholders[Stakeholder Group], 0)</definedName>
    <definedName name="AnnualStakeholderCounts">'Annual Stakeholder Count'!$B$8</definedName>
    <definedName name="CheckAdminCapital">IF(--(tbl_Activities[[#This Row],[Administrative or Compliance]]="Administrative")+--(tbl_Activities[[#This Row],[Capital or Labour]]="Capital")=2, 1, 0)</definedName>
    <definedName name="CheckAppliesToNoone">IF(--(tbl_Activities[[#This Row],[Apply to Existing Stakeholders]])+--(tbl_Activities[[#This Row],[Apply to New Entrants]])=0, 1, 0)</definedName>
    <definedName name="Checkblank">(tbl_Activities[Activity]&lt;&gt;"")*(tbl_Activities[Administrative or Compliance]&lt;&gt;"")*(tbl_Activities[In or Out]&lt;&gt;"")*(tbl_Activities[Upfront or  Ongoing]&lt;&gt;"")*(tbl_Activities[Start Year]&lt;&gt;"")*(tbl_Activities[End Year]&lt;&gt;"")*(tbl_Activities[Affected Stakeholder Group]&lt;&gt;"")*(tbl_Activities[Affected Stakeholder Type]&lt;&gt;"")*(tbl_Activities[Percent Affected]&lt;&gt;"")*(tbl_Activities[Apply to Existing Stakeholders]&lt;&gt;"")*(tbl_Activities[Apply to New Entrants]&lt;&gt;"")*(tbl_Activities[Annual Frequency]&lt;&gt;"")</definedName>
    <definedName name="Checkblank_wages">(tbl_Wages[National Occupational Classification (NOC)]&lt;&gt;"")*(tbl_Wages[Price year of data source]&lt;&gt;"")*(tbl_Wages[Wage in price year of data source (without overhead)]&lt;&gt;"")</definedName>
    <definedName name="Checkblank1">(tbl_Activities[[#This Row],[Activity]]&lt;&gt;"")*(tbl_Activities[[#This Row],[Administrative or Compliance]]&lt;&gt;"")*(tbl_Activities[[#This Row],[In or Out]]&lt;&gt;"")*(tbl_Activities[[#This Row],[Upfront or  Ongoing]]&lt;&gt;"")*(tbl_Activities[[#This Row],[Start Year]]&lt;&gt;"")*(tbl_Activities[[#This Row],[End Year]]&lt;&gt;"")*(tbl_Activities[[#This Row],[Affected Stakeholder Group]]&lt;&gt;"")*(tbl_Activities[[#This Row],[Affected Stakeholder Type]]&lt;&gt;"")*(tbl_Activities[[#This Row],[Percent Affected]]&lt;&gt;"")*(tbl_Activities[[#This Row],[Apply to Existing Stakeholders]]&lt;&gt;"")*(tbl_Activities[[#This Row],[Apply to New Entrants]]&lt;&gt;"")*(tbl_Activities[[#This Row],[Annual Frequency]]&lt;&gt;"")</definedName>
    <definedName name="CheckMedLarge">IFERROR(--(--(tbl_Activities[[#This Row],[Affected Stakeholder Type]]="Med/Large Businesses")+--(IFERROR((INDEX(tbl_Stakeholders[Med/Large Business Count], MATCH(tbl_Activities[[#This Row],[Affected Stakeholder Group]], tbl_Stakeholders[Stakeholder Group], 0))=0), 0))+--(IF(tbl_Activities[[#This Row],[Affected Stakeholder Group]]="All Groups", SUM(tbl_Stakeholders[Med/Large Business Count])=0))=2), "")</definedName>
    <definedName name="CheckNonBusiness">IFERROR(--(--(tbl_Activities[[#This Row],[Affected Stakeholder Type]]="All Non-businesses")+--(IFERROR((INDEX(tbl_Stakeholders[Non-business Count], MATCH(tbl_Activities[[#This Row],[Affected Stakeholder Group]], tbl_Stakeholders[Stakeholder Group], 0))=0), 0))+--(IF(tbl_Activities[[#This Row],[Affected Stakeholder Group]]="All Groups", SUM(tbl_Stakeholders[Non-business Count])=0))=2), "")</definedName>
    <definedName name="CheckSmall">IFERROR(--(--(tbl_Activities[[#This Row],[Affected Stakeholder Type]]="Small Businesses")+--(IFERROR((INDEX(tbl_Stakeholders[Small Business Count], MATCH(tbl_Activities[[#This Row],[Affected Stakeholder Group]], tbl_Stakeholders[Stakeholder Group], 0))=0), 0))+--(IF(tbl_Activities[[#This Row],[Affected Stakeholder Group]]="All Groups", SUM(tbl_Stakeholders[Small Business Count])=0))=2), "")</definedName>
    <definedName name="CheckStakeholders">IF(--(tbl_Activities[[#This Row],[Affected Stakeholder Group]]="")+--(tbl_Activities[[#This Row],[Affected Stakeholder Group]]="All Groups")= 1, 1,  COUNTIF(tbl_Stakeholders[Stakeholder Group], tbl_Activities[[#This Row],[Affected Stakeholder Group]]))</definedName>
    <definedName name="CheckStartEnd">_xlfn.LET(      _xlpm.Start, _xlfn.IFS(tbl_Activities[[#This Row],[Start Year]]="Start of Analytical Period", YearOfRegistration,tbl_Activities[[#This Row],[Start Year]]="End of Analytical Period", YearOfRegistration+Timeperiod-1, TRUE, tbl_Activities[[#This Row],[Start Year]]),      _xlpm.End, _xlfn.IFS(tbl_Activities[[#This Row],[End Year]]="Start of Analytical Period", YearOfRegistration,tbl_Activities[[#This Row],[End Year]]="End of Analytical Period", YearOfRegistration+Timeperiod-1, TRUE, tbl_Activities[[#This Row],[End Year]]), IF(_xlpm.Start&gt;_xlpm.End, 1, 0))</definedName>
    <definedName name="CheckUpfrontFreq">IF(--(tbl_Activities[[#This Row],[Upfront or  Ongoing]]="Upfront")+--(tbl_Activities[[#This Row],[Annual Frequency]]&lt;&gt;1)=2, 1, 0)</definedName>
    <definedName name="CheckWages">IFERROR(IF(_xlfn.TEXTBEFORE(_xlfn.TEXTAFTER(tbl_Activities[[#This Row],[Labour: Staff Level (Wage Without Overhead)]], "($"), ")")=INDEX(_xlfn.TEXTBEFORE(_xlfn.TEXTAFTER(_xlfn.ANCHORARRAY(Controls!$I$2), "($"), ")"), MATCH(_xlfn.TEXTBEFORE(tbl_Activities[[#This Row],[Labour: Staff Level (Wage Without Overhead)]], " ($"), _xlfn.TEXTBEFORE(_xlfn.ANCHORARRAY(Controls!$I$2), " ($"), 0)), 0, 1), "")</definedName>
    <definedName name="Custom_Labour">Labour!$A$66</definedName>
    <definedName name="Discount">'Initiative Details'!$D$15</definedName>
    <definedName name="ExternalData_1" localSheetId="11" hidden="1">CPI!$C$14:$D$36</definedName>
    <definedName name="FormulasLanding">Controls!$BV$1</definedName>
    <definedName name="FullOutputLanding">'Full Output'!$A$1</definedName>
    <definedName name="ImpactsByActivityLanding">'Net Impacts by Activity'!$B$17</definedName>
    <definedName name="ImpactsByStakeholderLanding">'Net Impacts by Stakeholder'!$B$2</definedName>
    <definedName name="InitiativeDetailsLanding">'Initiative Details'!$C$5</definedName>
    <definedName name="Introduced_Formula">_xlfn.XLOOKUP('Initiative Details'!$D$6,Controls!$P$22:$P$26,Controls!$R$22:$R$26,"",0,1)</definedName>
    <definedName name="List_Amendment_Repeal">Controls!$Q$22</definedName>
    <definedName name="List_New_Regulation_Repeal">Controls!$Q$23</definedName>
    <definedName name="List_Repeal_and_Replace_Repeal">Controls!$Q$25</definedName>
    <definedName name="List_Repeal_Only">Controls!$Q$24</definedName>
    <definedName name="MedLargeBusinessCounts">_xlfn._xlws.FILTER(tbl_Stakeholders[Med/Large Business Count], tbl_Stakeholders[Stakeholder Group]&lt;&gt;"")</definedName>
    <definedName name="MedLargeBusinessGrowthRates">_xlfn._xlws.FILTER(tbl_Stakeholders[Med/Large Business Growth Rate], tbl_Stakeholders[Stakeholder Group]&lt;&gt;"")</definedName>
    <definedName name="NetImpactsLanding">'Net Impacts'!$B$15</definedName>
    <definedName name="NonBusinessCounts">_xlfn._xlws.FILTER(tbl_Stakeholders[Non-business Count], tbl_Stakeholders[Stakeholder Group]&lt;&gt;"")</definedName>
    <definedName name="NonBusinessGrowthRates">_xlfn._xlws.FILTER(tbl_Stakeholders[Non-business Growth Rate], tbl_Stakeholders[Stakeholder Group]&lt;&gt;"")</definedName>
    <definedName name="OneforOne_CPI_Conversion">INDEX(tbl_CPI[Index], MATCH(2012, tbl_CPI[Year], 0))/INDEX(tbl_CPI[Index], MATCH(PriceYear, tbl_CPI[Year], 0))</definedName>
    <definedName name="OneForOneLanding">'One-for-one'!$C$17</definedName>
    <definedName name="OneforOneText">Controls!$R$2</definedName>
    <definedName name="OutputRows">ROWS(_xlfn.ANCHORARRAY('Full Output'!$A$2))</definedName>
    <definedName name="Periods">_xlfn.LET( _xlpm.Start, "Start of Analytical Period", _xlpm.End, "End of Analytical Period", _xlpm.Years, IF(tbl_Activities[Start Year]=tbl_Activities[End Year], 1, IF(--(tbl_Activities[Start Year]=_xlpm.Start)+--(tbl_Activities[End Year]=_xlpm.End)=2, Timeperiod, IF(tbl_Activities[Start Year]=_xlpm.Start, tbl_Activities[End Year]-YearOfRegistration+1, IF(--(tbl_Activities[Start Year]=_xlpm.End)+--(tbl_Activities[End Year]=YearOfRegistration+Timeperiod-1)=2, 1, IF(tbl_Activities[End Year]=_xlpm.End, YearOfRegistration+Timeperiod-tbl_Activities[Start Year], IF(--(tbl_Activities[Start Year]=_xlpm.End)+--(tbl_Activities[End Year]=_xlpm.Start)=2, 0, IF(tbl_Activities[Start Year]&gt;tbl_Activities[End Year], 0, IF(--(tbl_Activities[End Year]=_xlpm.Start)+--(tbl_Activities[Start Year]=YearOfRegistration)=2, 1, tbl_Activities[End Year]-tbl_Activities[Start Year]+1)))))))), ROUNDDOWN(IF(tbl_Activities[Upfront or  Ongoing]="Upfront", _xlpm.Years+1, IF(tbl_Activities[Upfront or  Ongoing]="Ongoing", tbl_Activities[Annual Frequency]*_xlpm.Years)), 0))</definedName>
    <definedName name="PriceYear">'Initiative Details'!$D$11</definedName>
    <definedName name="PVBaseYear">'Initiative Details'!$D$13</definedName>
    <definedName name="Repealed_Formula">_xlfn.XLOOKUP('Initiative Details'!$D$6,Controls!$P$22:$P$26,Controls!$Q$22:$Q18,"",0,1)</definedName>
    <definedName name="repeat">_xlfn.LAMBDA(_xlpm.repeat,_xlpm.thing, IFERROR(_xlfn.XLOOKUP(_xlfn.SEQUENCE(SUM(_xlfn._xlws.FILTER(_xlpm.repeat, Checkblank*_xlpm.repeat&gt;0))), _xlfn.VSTACK(1, _xlfn.SCAN(1, _xlfn._xlws.FILTER(_xlpm.repeat, Checkblank*_xlpm.repeat&gt;0), _xlfn.LAMBDA(_xlpm.a,_xlpm.b, _xlpm.a+_xlpm.b))), _xlfn.VSTACK(_xlfn._xlws.FILTER(_xlpm.thing, Checkblank*_xlpm.repeat&gt;0), ""), , -1), ""))</definedName>
    <definedName name="SBLLanding">'Small Business Lens'!$B$20</definedName>
    <definedName name="SmallBusinessCounts">_xlfn._xlws.FILTER(tbl_Stakeholders[Small Business Count], tbl_Stakeholders[Stakeholder Group]&lt;&gt;"")</definedName>
    <definedName name="SmallBusinessGrowthRates">_xlfn._xlws.FILTER(tbl_Stakeholders[Small Business Growth Rate], tbl_Stakeholders[Stakeholder Group]&lt;&gt;"")</definedName>
    <definedName name="StakeholderCols">COUNTA(_xlfn._xlws.FILTER(tbl_Stakeholders[Stakeholder Group], tbl_Stakeholders[Stakeholder Group]&lt;&gt;""))</definedName>
    <definedName name="StakeholderGroupsTotal">_xlfn.VSTACK("Stakeholder Group", _xlfn.UNIQUE(_xlfn._xlws.FILTER(tbl_Stakeholders[Stakeholder Group], tbl_Stakeholders[Stakeholder Group]&lt;&gt;"")), "Total")</definedName>
    <definedName name="StakeholderProfileLanding">'Stakeholder Profile'!$B$16</definedName>
    <definedName name="TenCount">Controls!$P$33:$P$43</definedName>
    <definedName name="Timeperiod">'Initiative Details'!$D$14</definedName>
    <definedName name="TypeHere_Activities">_xlfn.LET(_xlpm.rows,ROWS(tbl_Activities[Activity]),_xlpm.anyblank,SUM(Checkblank)&lt;_xlpm.rows,_xlpm.firstblank,MATCH(0,Checkblank,0),_xlpm.message,"Type Here ⮚", _xlfn.MAKEARRAY(_xlpm.rows+2,1,_xlfn.LAMBDA(_xlpm.r,_xlpm.c,IF(AND(_xlpm.rows=1, _xlpm.anyblank),IF(_xlpm.r=2,_xlpm.message,""),IF(_xlpm.anyblank,IF(_xlpm.r=_xlpm.firstblank+1,_xlpm.message,""),IF(_xlpm.r=_xlpm.rows+2,_xlpm.message,""))))))</definedName>
    <definedName name="TypeHere_Stakeholders">_xlfn.LET(_xlpm.rows, ROWS(tbl_Stakeholders[Stakeholder Group]), _xlpm.anyblank, SUM(--ISBLANK(tbl_Stakeholders[Stakeholder Group]))&gt;0, _xlpm.firstblank, MATCH(TRUE,ISBLANK(tbl_Stakeholders[Stakeholder Group]), 0), _xlpm.message, "Type Here ⮚", _xlfn.MAKEARRAY(_xlpm.rows+2, 1, _xlfn.LAMBDA(_xlpm.r,_xlpm.c,  IF(AND(_xlpm.rows=1, _xlpm.anyblank), IF(_xlpm.r=2, _xlpm.message, ""), IF(_xlpm.anyblank, IF(_xlpm.r=_xlpm.firstblank+1, _xlpm.message, ""), IF(_xlpm.r=_xlpm.rows+2, _xlpm.message, ""))))))</definedName>
    <definedName name="TypeHere_Wages">_xlfn.LET(_xlpm.rows,ROWS(tbl_Wages[]),_xlpm.anyblank,SUM(Checkblank_wages)&lt;_xlpm.rows,_xlpm.firstblank,MATCH(0,Checkblank_wages,0),_xlpm.message,"Type Here ⮚", _xlfn.MAKEARRAY(_xlpm.rows+2,1,_xlfn.LAMBDA(_xlpm.r,_xlpm.c,IF(AND(_xlpm.rows=1, _xlpm.anyblank),IF(_xlpm.r=2,_xlpm.message,""),IF(_xlpm.anyblank,IF(_xlpm.r=_xlpm.firstblank+1,_xlpm.message,""),IF(_xlpm.r=_xlpm.rows+2,_xlpm.message,""))))))</definedName>
    <definedName name="WageLookup">IFERROR(INDEX(tbl_Wages[Wage in price year of analysis (without overhead)], MATCH(tbl_Activities[[#This Row],[Labour: Staff Level (Wage Without Overhead)]], tbl_Wages[National Occupational Classification (NOC)], 0))*(1+_xlfn.IFS(tbl_Activities[[#This Row],[Labour: Internal or External Overhead]]="Internal", 0.25, tbl_Activities[[#This Row],[Labour: Internal or External Overhead]]="External", 0.5, TRUE, 0)), "")</definedName>
    <definedName name="YearHeader_Discounted">_xlfn.HSTACK(_xlfn.SEQUENCE(, Timeperiod, YearOfRegistration), "Total", "Annualized")</definedName>
    <definedName name="YearHeader_Undiscounted">_xlfn.HSTACK(_xlfn.SEQUENCE(, Timeperiod, YearOfRegistration), "Total")</definedName>
    <definedName name="YearOfRegistration">'Initiative Details'!$D$12</definedName>
    <definedName name="Years_since_2012">PVBaseYear-2012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0" l="1" a="1"/>
  <c r="B2" i="10" s="1"/>
  <c r="DJ1" i="10" l="1"/>
  <c r="CH1" i="10"/>
  <c r="AP1" i="22" l="1" a="1"/>
  <c r="AP1" i="22" s="1"/>
  <c r="F2" i="10" a="1"/>
  <c r="F2" i="10" s="1"/>
  <c r="U26" i="10"/>
  <c r="U25" i="10"/>
  <c r="U24" i="10"/>
  <c r="U23" i="10"/>
  <c r="U22" i="10"/>
  <c r="V5" i="10" l="1" a="1"/>
  <c r="V5" i="10" s="1"/>
  <c r="Y5" i="10" s="1" a="1"/>
  <c r="Y5" i="10" s="1"/>
  <c r="U21" i="10"/>
  <c r="X5" i="10" l="1" a="1"/>
  <c r="X5" i="10" s="1"/>
  <c r="Z5" i="10" a="1"/>
  <c r="Z5" i="10" s="1"/>
  <c r="AB5" i="10" a="1"/>
  <c r="AB5" i="10" s="1"/>
  <c r="W5" i="10" a="1"/>
  <c r="W5" i="10" s="1"/>
  <c r="AM5" i="10" s="1" a="1"/>
  <c r="AM5" i="10" s="1"/>
  <c r="AC5" i="10" l="1" a="1"/>
  <c r="AC5" i="10" s="1"/>
  <c r="AA5" i="10" a="1"/>
  <c r="AA5" i="10" s="1"/>
  <c r="A2" i="22" a="1"/>
  <c r="A2" i="22" s="1"/>
  <c r="AA2" i="22" l="1" a="1"/>
  <c r="AA2" i="22" s="1"/>
  <c r="AC2" i="22" a="1"/>
  <c r="AC2" i="22" s="1"/>
  <c r="AB2" i="22" a="1"/>
  <c r="AB2" i="22" s="1"/>
  <c r="G2" i="22" a="1"/>
  <c r="G2" i="22" s="1"/>
  <c r="AG2" i="22" a="1"/>
  <c r="AG2" i="22" s="1"/>
  <c r="AG5" i="10" a="1"/>
  <c r="AG5" i="10" s="1"/>
  <c r="AH5" i="10" s="1" a="1"/>
  <c r="AH5" i="10" s="1"/>
  <c r="AE5" i="10" a="1"/>
  <c r="AE5" i="10" s="1"/>
  <c r="H2" i="22" a="1"/>
  <c r="H2" i="22" s="1"/>
  <c r="B2" i="22" a="1"/>
  <c r="B2" i="22" s="1"/>
  <c r="C2" i="22" a="1"/>
  <c r="C2" i="22" s="1"/>
  <c r="I2" i="22" a="1"/>
  <c r="I2" i="22" s="1"/>
  <c r="D2" i="22" a="1"/>
  <c r="D2" i="22" s="1"/>
  <c r="F2" i="22" a="1"/>
  <c r="F2" i="22" s="1"/>
  <c r="E2" i="22" l="1" a="1"/>
  <c r="E2" i="22" s="1"/>
  <c r="AE2" i="22" a="1"/>
  <c r="AE2" i="22" s="1"/>
  <c r="AD2" i="22" a="1"/>
  <c r="AD2" i="22" s="1"/>
  <c r="AF2" i="22" a="1"/>
  <c r="AF2" i="22" s="1"/>
  <c r="A16" i="8" a="1"/>
  <c r="A16" i="8" s="1"/>
  <c r="B14" i="18" l="1" a="1"/>
  <c r="B14" i="18" s="1"/>
  <c r="AO1" i="22" l="1"/>
  <c r="B17" i="34"/>
  <c r="B16" i="34"/>
  <c r="C7" i="38" l="1"/>
  <c r="C6" i="38"/>
  <c r="C5" i="38"/>
  <c r="D2" i="10" a="1"/>
  <c r="D2" i="10" s="1"/>
  <c r="E2" i="10" a="1"/>
  <c r="E2" i="10" s="1"/>
  <c r="C2" i="10" a="1"/>
  <c r="C2" i="10" s="1"/>
  <c r="C15" i="34" a="1"/>
  <c r="C15" i="34" s="1"/>
  <c r="E7" i="37" a="1"/>
  <c r="E7" i="37" s="1"/>
  <c r="D8" i="37" a="1"/>
  <c r="D8" i="37" s="1"/>
  <c r="C9" i="37" a="1"/>
  <c r="C9" i="37" s="1"/>
  <c r="B9" i="37" a="1"/>
  <c r="B9" i="37" s="1"/>
  <c r="C7" i="34"/>
  <c r="C6" i="34"/>
  <c r="C5" i="34"/>
  <c r="C7" i="35"/>
  <c r="C6" i="35"/>
  <c r="C5" i="35"/>
  <c r="E9" i="37" l="1" a="1"/>
  <c r="E9" i="37" s="1"/>
  <c r="B15" i="4" a="1"/>
  <c r="B15" i="4" s="1"/>
  <c r="D9" i="37" l="1" a="1"/>
  <c r="D9" i="37" s="1"/>
  <c r="D10" i="1" l="1" a="1"/>
  <c r="D10" i="1" s="1"/>
  <c r="S26" i="10" s="1"/>
  <c r="R14" i="10"/>
  <c r="R10" i="10" l="1"/>
  <c r="R5" i="10" s="1"/>
  <c r="C7" i="9"/>
  <c r="F15" i="18" l="1"/>
  <c r="F16" i="18"/>
  <c r="F17" i="18"/>
  <c r="F18" i="18"/>
  <c r="F19" i="18"/>
  <c r="F20" i="18"/>
  <c r="F21" i="18"/>
  <c r="F22" i="18"/>
  <c r="F23" i="18"/>
  <c r="F24" i="18"/>
  <c r="F25" i="18"/>
  <c r="F26" i="18"/>
  <c r="F27" i="18"/>
  <c r="F28" i="18"/>
  <c r="F29" i="18"/>
  <c r="F30" i="18"/>
  <c r="M2" i="22" s="1" a="1"/>
  <c r="M2" i="22" s="1"/>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AD5" i="10" l="1" a="1"/>
  <c r="AD5" i="10" s="1"/>
  <c r="AF5" i="10" s="1" a="1"/>
  <c r="AF5" i="10" s="1"/>
  <c r="I2" i="10" a="1"/>
  <c r="I2" i="10" s="1"/>
  <c r="B45" i="9"/>
  <c r="B44" i="9"/>
  <c r="B38" i="9"/>
  <c r="B37" i="9"/>
  <c r="B31" i="9"/>
  <c r="B30" i="9"/>
  <c r="C43" i="9" a="1"/>
  <c r="C43" i="9" s="1"/>
  <c r="C36" i="9" a="1"/>
  <c r="C36" i="9" s="1"/>
  <c r="C29" i="9" a="1"/>
  <c r="C29" i="9" s="1"/>
  <c r="G2" i="10" a="1"/>
  <c r="G2" i="10" s="1"/>
  <c r="M1" i="22" l="1"/>
  <c r="C10" i="19" l="1"/>
  <c r="C6" i="9" l="1"/>
  <c r="C7" i="19" l="1"/>
  <c r="C6" i="19"/>
  <c r="C9" i="19"/>
  <c r="C8" i="19"/>
  <c r="O4" i="10" l="1"/>
  <c r="O3" i="10" l="1"/>
  <c r="A14" i="6" l="1" a="1"/>
  <c r="A14" i="6" s="1"/>
  <c r="AH2" i="22" l="1" a="1"/>
  <c r="AH2" i="22" s="1"/>
  <c r="AL2" i="22" a="1"/>
  <c r="AL2" i="22" s="1"/>
  <c r="AI2" i="22" a="1"/>
  <c r="AI2" i="22" s="1"/>
  <c r="AK2" i="22" a="1"/>
  <c r="AK2" i="22" s="1"/>
  <c r="AJ2" i="22" a="1"/>
  <c r="AJ2" i="22" s="1"/>
  <c r="AM2" i="22" a="1"/>
  <c r="AM2" i="22" s="1"/>
  <c r="J2" i="22" l="1" a="1"/>
  <c r="J2" i="22" s="1"/>
  <c r="L2" i="22" l="1" a="1"/>
  <c r="L2" i="22" s="1"/>
  <c r="P2" i="22" s="1" a="1"/>
  <c r="P2" i="22" s="1"/>
  <c r="U2" i="22" s="1" a="1"/>
  <c r="U2" i="22" s="1"/>
  <c r="K2" i="22" a="1"/>
  <c r="K2" i="22" s="1"/>
  <c r="AJ5" i="10" l="1" a="1"/>
  <c r="AJ5" i="10" s="1"/>
  <c r="AP2" i="22" a="1"/>
  <c r="N2" i="22" a="1"/>
  <c r="N2" i="22" s="1"/>
  <c r="S2" i="22" s="1" a="1"/>
  <c r="S2" i="22" s="1"/>
  <c r="O2" i="22" a="1"/>
  <c r="O2" i="22" s="1"/>
  <c r="X2" i="22" s="1" a="1"/>
  <c r="X2" i="22" s="1"/>
  <c r="BA5" i="10" l="1" a="1"/>
  <c r="BA5" i="10" s="1"/>
  <c r="BB5" i="10" a="1"/>
  <c r="BB5" i="10" s="1"/>
  <c r="AW5" i="10" a="1"/>
  <c r="AW5" i="10" s="1"/>
  <c r="AX5" i="10" a="1"/>
  <c r="AX5" i="10" s="1"/>
  <c r="BE5" i="10" a="1"/>
  <c r="BE5" i="10" s="1"/>
  <c r="BF5" i="10" a="1"/>
  <c r="BF5" i="10" s="1"/>
  <c r="AS5" i="10" a="1"/>
  <c r="AS5" i="10" s="1"/>
  <c r="AV5" i="10" a="1"/>
  <c r="AV5" i="10" s="1"/>
  <c r="BD5" i="10" a="1"/>
  <c r="BD5" i="10" s="1"/>
  <c r="BC5" i="10" a="1"/>
  <c r="BC5" i="10" s="1"/>
  <c r="AZ5" i="10" a="1"/>
  <c r="AZ5" i="10" s="1"/>
  <c r="AY5" i="10" a="1"/>
  <c r="AY5" i="10" s="1"/>
  <c r="BG5" i="10" a="1"/>
  <c r="BG5" i="10" s="1"/>
  <c r="BH5" i="10" a="1"/>
  <c r="BH5" i="10" s="1"/>
  <c r="AT5" i="10" a="1"/>
  <c r="AT5" i="10" s="1"/>
  <c r="AU5" i="10" a="1"/>
  <c r="AU5" i="10" s="1"/>
  <c r="AP2" i="22"/>
  <c r="B15" i="38" s="1" a="1"/>
  <c r="B15" i="38" s="1"/>
  <c r="T2" i="22" a="1"/>
  <c r="T2" i="22" s="1"/>
  <c r="B18" i="19" s="1" a="1"/>
  <c r="B18" i="19" s="1"/>
  <c r="Q2" i="22" a="1"/>
  <c r="Q2" i="22" s="1"/>
  <c r="AI5" i="10" a="1"/>
  <c r="AI5" i="10" s="1"/>
  <c r="AN5" i="10" s="1" a="1"/>
  <c r="AN5" i="10" s="1"/>
  <c r="AO5" i="10" l="1" a="1"/>
  <c r="AO5" i="10" s="1"/>
  <c r="AP5" i="10" a="1"/>
  <c r="AP5" i="10" s="1"/>
  <c r="AQ5" i="10" a="1"/>
  <c r="AQ5" i="10" s="1"/>
  <c r="C38" i="9" a="1"/>
  <c r="C38" i="9" s="1"/>
  <c r="C31" i="9" a="1"/>
  <c r="C31" i="9" s="1"/>
  <c r="R2" i="22" a="1"/>
  <c r="R2" i="22" s="1"/>
  <c r="C17" i="34" s="1" a="1"/>
  <c r="C17" i="34" s="1"/>
  <c r="C30" i="9" a="1"/>
  <c r="C30" i="9" s="1"/>
  <c r="C37" i="9" a="1"/>
  <c r="C37" i="9" s="1"/>
  <c r="V2" i="22" a="1"/>
  <c r="V2" i="22" s="1"/>
  <c r="AR5" i="10" l="1" a="1"/>
  <c r="AR5" i="10" s="1"/>
  <c r="BI5" i="10" s="1" a="1"/>
  <c r="BI5" i="10" s="1"/>
  <c r="BL5" i="10" s="1" a="1"/>
  <c r="BL5" i="10" s="1"/>
  <c r="BK5" i="10" a="1"/>
  <c r="BK5" i="10" s="1"/>
  <c r="W2" i="22" a="1"/>
  <c r="W2" i="22" s="1"/>
  <c r="B15" i="35" s="1" a="1"/>
  <c r="B15" i="35" s="1"/>
  <c r="M38" i="9"/>
  <c r="N38" i="9" s="1"/>
  <c r="C45" i="9" a="1"/>
  <c r="C45" i="9" s="1"/>
  <c r="M45" i="9" s="1"/>
  <c r="N45" i="9" s="1"/>
  <c r="C40" i="9" a="1"/>
  <c r="C40" i="9" s="1"/>
  <c r="C44" i="9" a="1"/>
  <c r="C44" i="9" s="1"/>
  <c r="M44" i="9" s="1"/>
  <c r="M37" i="9"/>
  <c r="C39" i="9" a="1"/>
  <c r="C39" i="9" s="1"/>
  <c r="M30" i="9"/>
  <c r="C32" i="9" a="1"/>
  <c r="C32" i="9" s="1"/>
  <c r="M32" i="9" s="1"/>
  <c r="M31" i="9"/>
  <c r="N31" i="9" s="1"/>
  <c r="C33" i="9" a="1"/>
  <c r="C33" i="9" s="1"/>
  <c r="M33" i="9" s="1"/>
  <c r="N33" i="9" s="1"/>
  <c r="BM5" i="10" l="1" a="1"/>
  <c r="C16" i="34" a="1"/>
  <c r="C16" i="34" s="1"/>
  <c r="M39" i="9"/>
  <c r="C46" i="9" a="1"/>
  <c r="C46" i="9" s="1"/>
  <c r="M46" i="9" s="1"/>
  <c r="M40" i="9"/>
  <c r="N40" i="9" s="1"/>
  <c r="C47" i="9" a="1"/>
  <c r="C47" i="9" s="1"/>
  <c r="M47" i="9" s="1"/>
  <c r="BM5" i="10" l="1"/>
  <c r="BN4" i="10"/>
  <c r="N47" i="9"/>
  <c r="C15" i="9"/>
  <c r="C17" i="9" l="1"/>
  <c r="R12" i="10" s="1"/>
  <c r="C16" i="9"/>
  <c r="R13" i="10" l="1"/>
  <c r="C18" i="9"/>
  <c r="R4" i="10" l="1"/>
  <c r="R2" i="10" s="1"/>
  <c r="B24" i="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A1F3BC7-7A5A-491E-8707-40AA44403CA8}" keepAlive="1" name="Query - Table 0" description="Connection to the 'Table 0' query in the workbook." type="5" refreshedVersion="8" background="1" saveData="1">
    <dbPr connection="Provider=Microsoft.Mashup.OleDb.1;Data Source=$Workbook$;Location=&quot;Table 0&quot;;Extended Properties=&quot;&quot;" command="SELECT * FROM [Table 0]"/>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<sst xmlns="http://schemas.openxmlformats.org/spreadsheetml/2006/main" count="385" uniqueCount="304">
  <si>
    <t>Step 1: Initiative Profile</t>
  </si>
  <si>
    <t>Name of Regulatory Change:</t>
  </si>
  <si>
    <t>Type of Regulatory Change:</t>
  </si>
  <si>
    <t>Amendment</t>
  </si>
  <si>
    <t>Responsible Organization(s):</t>
  </si>
  <si>
    <t>Brief Description of the Regulatory Change:</t>
  </si>
  <si>
    <t>Number of Regulations Repealed:</t>
  </si>
  <si>
    <t>Number of Regulations Introduced:</t>
  </si>
  <si>
    <t>Price Year:</t>
  </si>
  <si>
    <t>Year of Registration:</t>
  </si>
  <si>
    <t>Present Value Base Year:</t>
  </si>
  <si>
    <t>Length of Analytical Period (Years):</t>
  </si>
  <si>
    <t>Discount Rate:</t>
  </si>
  <si>
    <t>(Click the cells above for more info)</t>
  </si>
  <si>
    <t>Step 2: Stakeholder Profile</t>
  </si>
  <si>
    <t>Stakeholder Group</t>
  </si>
  <si>
    <t>Non-business Count</t>
  </si>
  <si>
    <t>Small Business Count</t>
  </si>
  <si>
    <t>Med/Large Business Count</t>
  </si>
  <si>
    <t>Total Business Count</t>
  </si>
  <si>
    <t>Total Stakeholder Count</t>
  </si>
  <si>
    <t>Non-business Growth Rate</t>
  </si>
  <si>
    <t>Small Business Growth Rate</t>
  </si>
  <si>
    <t>Med/Large Business Growth Rate</t>
  </si>
  <si>
    <t>Step 3: Activities</t>
  </si>
  <si>
    <t>Activity</t>
  </si>
  <si>
    <t>Administrative or Compliance</t>
  </si>
  <si>
    <t>In or Out</t>
  </si>
  <si>
    <t>Upfront or  Ongoing</t>
  </si>
  <si>
    <t>Start Year</t>
  </si>
  <si>
    <t>End Year</t>
  </si>
  <si>
    <t>Affected Stakeholder Group</t>
  </si>
  <si>
    <t>Affected Stakeholder Type</t>
  </si>
  <si>
    <t>Percent Affected</t>
  </si>
  <si>
    <t>Apply to Existing Stakeholders</t>
  </si>
  <si>
    <t>Apply to New Entrants</t>
  </si>
  <si>
    <t>Capital or Labour</t>
  </si>
  <si>
    <t>Capital: Number of Units</t>
  </si>
  <si>
    <t>Capital: Unit Price</t>
  </si>
  <si>
    <t>Capital: Price Year of Unit Price</t>
  </si>
  <si>
    <t>Annual Frequency</t>
  </si>
  <si>
    <t>Labour: Time Spent (hours)</t>
  </si>
  <si>
    <t>Labour: Internal or External Overhead</t>
  </si>
  <si>
    <t>Labour: Staff Level (Wage Without Overhead)</t>
  </si>
  <si>
    <t>Administrative</t>
  </si>
  <si>
    <t>One-for-one</t>
  </si>
  <si>
    <t>Business count, time period, units of measurement:</t>
  </si>
  <si>
    <t>Count of all businesses at the start of the analytical period:</t>
  </si>
  <si>
    <t>Time (years):</t>
  </si>
  <si>
    <t>Price year:</t>
  </si>
  <si>
    <t>Discount rate:</t>
  </si>
  <si>
    <t>Discount base year:</t>
  </si>
  <si>
    <t>Results:</t>
  </si>
  <si>
    <t>Net Present Value Administrative Impact, All Businesses:</t>
  </si>
  <si>
    <t>Net Present Value Administrative Impact Per Business:</t>
  </si>
  <si>
    <t>Annualized Administrative Impact, All Businesses:</t>
  </si>
  <si>
    <t>Annualized Administrative Impact Per Business:</t>
  </si>
  <si>
    <t>Note: negative values represent net costs, positive values represent net benefits</t>
  </si>
  <si>
    <t>Draft RIAS text (revise as needed)</t>
  </si>
  <si>
    <t>Annual breakdown:</t>
  </si>
  <si>
    <t>IN</t>
  </si>
  <si>
    <t>CBA Parameter</t>
  </si>
  <si>
    <t>Total</t>
  </si>
  <si>
    <t>Annualized</t>
  </si>
  <si>
    <t>N/A</t>
  </si>
  <si>
    <t>Undiscounted Impacts (2012 price year)</t>
  </si>
  <si>
    <t>Discounted Impacts (2012 price year, 7% discount rate, 2012 discount base year)</t>
  </si>
  <si>
    <t>OUT</t>
  </si>
  <si>
    <t>NET</t>
  </si>
  <si>
    <t>Small Business Lens</t>
  </si>
  <si>
    <t>Count of small businesses at the start of the analytical period:</t>
  </si>
  <si>
    <t>Order of magnitude:</t>
  </si>
  <si>
    <t>Single</t>
  </si>
  <si>
    <t>Decimals:</t>
  </si>
  <si>
    <t>Note: in the tables below, Benefits are the OUTs and Costs are the INs from the Activities tab.</t>
  </si>
  <si>
    <t>Annual Stakeholder Count</t>
  </si>
  <si>
    <t>Group</t>
  </si>
  <si>
    <t>Type</t>
  </si>
  <si>
    <t>Net impacts to all stakeholders throughout the analytical period</t>
  </si>
  <si>
    <t>Present value base year:</t>
  </si>
  <si>
    <t>Note: negative values represent net costs and positive values represent net benefits.</t>
  </si>
  <si>
    <t>Net Impacts by Activity</t>
  </si>
  <si>
    <t>Net Impacts by Stakeholder</t>
  </si>
  <si>
    <t>National Occupational Classification (NOC)</t>
  </si>
  <si>
    <t>Price year of data source</t>
  </si>
  <si>
    <t>Wage in price year of data source (without overhead)</t>
  </si>
  <si>
    <t>Wage in price year of analysis (without overhead)</t>
  </si>
  <si>
    <t>01 Canada average</t>
  </si>
  <si>
    <t>02 Management occupations</t>
  </si>
  <si>
    <t>03 Senior management occupations</t>
  </si>
  <si>
    <t>04 Specialized middle management occupations</t>
  </si>
  <si>
    <t>05 Middle management occupations in retail and wholesale trade and customer services</t>
  </si>
  <si>
    <t>06 Middle management occupations in trades, transportation, production and utilities</t>
  </si>
  <si>
    <t>07 Business, finance and administration occupations</t>
  </si>
  <si>
    <t>08 Professional occupations in business and finance</t>
  </si>
  <si>
    <t>09 Administrative and financial supervisors and administrative occupations</t>
  </si>
  <si>
    <t>10 Finance, insurance and related business administrative occupations</t>
  </si>
  <si>
    <t>11 Office support occupations</t>
  </si>
  <si>
    <t>12 Distribution, tracking and scheduling co-ordination occupations</t>
  </si>
  <si>
    <t>13 Natural and applied sciences and related occupations</t>
  </si>
  <si>
    <t>14 Professional occupations in natural and applied sciences</t>
  </si>
  <si>
    <t>15 Technical occupations related to natural and applied sciences</t>
  </si>
  <si>
    <t>16 Health occupations</t>
  </si>
  <si>
    <t>17 Professional occupations in nursing</t>
  </si>
  <si>
    <t>18 Professional occupations in health (except nursing)</t>
  </si>
  <si>
    <t>19 Technical occupations in health</t>
  </si>
  <si>
    <t>20 Assisting occupations in support of health services</t>
  </si>
  <si>
    <t>21 Occupations in education, law and social, community and government services</t>
  </si>
  <si>
    <t>22 Professional occupations in education services</t>
  </si>
  <si>
    <t>23 Professional occupations in law and social, community and government services</t>
  </si>
  <si>
    <t>24 Paraprofessional occupations in legal, social, community and education services</t>
  </si>
  <si>
    <t>25 Occupations in front-line public protection services</t>
  </si>
  <si>
    <t>26 Care providers and educational, legal and public protection support occupations</t>
  </si>
  <si>
    <t>27 Occupations in art, culture, recreation and sport</t>
  </si>
  <si>
    <t>28 Professional occupations in art and culture</t>
  </si>
  <si>
    <t>29 Technical occupations in art, culture, recreation and sport</t>
  </si>
  <si>
    <t>30 Sales and service occupations</t>
  </si>
  <si>
    <t>31 Retail sales supervisors and specialized sales occupations</t>
  </si>
  <si>
    <t>32 Service supervisors and specialized service occupations</t>
  </si>
  <si>
    <t>33 Sales representatives and salespersons - wholesale and retail trade</t>
  </si>
  <si>
    <t>34 Service representatives and other customer and personal services occupations</t>
  </si>
  <si>
    <t>35 Sales support occupations</t>
  </si>
  <si>
    <t>36 Service support and other service occupations, n.e.c.</t>
  </si>
  <si>
    <t>37 Trades, transport and equipment operators and related occupations</t>
  </si>
  <si>
    <t>38 Industrial, electrical and construction trades</t>
  </si>
  <si>
    <t>39 Maintenance and equipment operation trades</t>
  </si>
  <si>
    <t>40 Other installers, repairers and servicers and material handlers</t>
  </si>
  <si>
    <t>41 Transport and heavy equipment operation and related maintenance occupations</t>
  </si>
  <si>
    <t>42 Trades helpers, construction labourers and related occupations</t>
  </si>
  <si>
    <t>43 Natural resources, agriculture and related production occupations</t>
  </si>
  <si>
    <t>44 Supervisors and technical occupations in natural resources, agriculture and related production</t>
  </si>
  <si>
    <t>45 Workers in natural resources, agriculture and related production</t>
  </si>
  <si>
    <t>46 Harvesting, landscaping and natural resources labourers</t>
  </si>
  <si>
    <t>47 Occupations in manufacturing and utilities</t>
  </si>
  <si>
    <t>48 Processing, manufacturing and utilities supervisors and central control operators</t>
  </si>
  <si>
    <t>49 Processing and manufacturing machine operators and related production workers</t>
  </si>
  <si>
    <t>50 Assemblers in manufacturing</t>
  </si>
  <si>
    <t>51 Labourers in processing, manufacturing and utilities</t>
  </si>
  <si>
    <t>Statistics Canada. Table 18-10-0005-01  Consumer Price Index, annual average, not seasonally adjusted</t>
  </si>
  <si>
    <t>Year</t>
  </si>
  <si>
    <t>Index</t>
  </si>
  <si>
    <t>Activity Number</t>
  </si>
  <si>
    <t>Activity Description</t>
  </si>
  <si>
    <t>Administrative/ Compliance</t>
  </si>
  <si>
    <t>In/Out</t>
  </si>
  <si>
    <t>Period</t>
  </si>
  <si>
    <t>Frequency</t>
  </si>
  <si>
    <t>Affected Group</t>
  </si>
  <si>
    <t>Affected Non-businesses Stakeholder Count</t>
  </si>
  <si>
    <t>Affected Small Businesses Stakeholder Count</t>
  </si>
  <si>
    <t>Affected Med/Large Businesses Stakeholder Count</t>
  </si>
  <si>
    <t>Undiscounted Impacts to Non-Businesses</t>
  </si>
  <si>
    <t>Undiscounted Impacts to Small Businesses</t>
  </si>
  <si>
    <t>Undiscounted Impacts to Med/Large Businesses</t>
  </si>
  <si>
    <t>Undiscounted Impacts to All Businesses</t>
  </si>
  <si>
    <t>Undiscounted Impacts to All Stakeholders</t>
  </si>
  <si>
    <t>Discounted Impacts to Non-Businesses</t>
  </si>
  <si>
    <t>Discounted Impacts to Small Businesses</t>
  </si>
  <si>
    <t>Discounted Impacts to Med/Large Businesses</t>
  </si>
  <si>
    <t>Discounted Impacts to All Businesses</t>
  </si>
  <si>
    <t>Discounted Impacts to All Stakeholders</t>
  </si>
  <si>
    <t>Discounted Admin Impacts to All Affected Businesses (Fixed at 7%)</t>
  </si>
  <si>
    <t>Start</t>
  </si>
  <si>
    <t>Affected Type</t>
  </si>
  <si>
    <t>Activity Type</t>
  </si>
  <si>
    <t>Exponent</t>
  </si>
  <si>
    <t>Exponent_P0</t>
  </si>
  <si>
    <t>Exponent_discounting</t>
  </si>
  <si>
    <t>Affected Group (Index from Stakeholder Profile)</t>
  </si>
  <si>
    <t>This Group Starting Non-Business Count</t>
  </si>
  <si>
    <t>This Group Non-Business Growth Rate</t>
  </si>
  <si>
    <t>This Group Starting Small Business Count</t>
  </si>
  <si>
    <t>This Group Small Business Growth Rate</t>
  </si>
  <si>
    <t>This Group Starting Med/Large Business Count</t>
  </si>
  <si>
    <t>This Group  Med/Large Business Growth Rate</t>
  </si>
  <si>
    <t>repeat(Periods, ActivityNumber)</t>
  </si>
  <si>
    <t>IFERROR(INDEX(tbl_Activities[Activity], A2#), "")</t>
  </si>
  <si>
    <t>IFERROR(INDEX(tbl_Activities[Administrative or Compliance], A2#), "")</t>
  </si>
  <si>
    <t>IFERROR(INDEX(tbl_Activities[In or Out], A2#), "")</t>
  </si>
  <si>
    <t>IFERROR(
LET(
a, FILTER(Periods, Checkblank),
b, SEQUENCE(COUNTA(FILTER(Periods, Checkblank))),
c, TRANSPOSE(b),
d, --(b&gt;=c),
e, MMULT(d, a),
f, SUM(a),
g, SEQUENCE(f),
h, XMATCH(g-1, e,-1),
I, IFERROR(INDEX(e,h),0),
j, g - I,
j)-IF(INDEX(tbl_Activities[Upfront or  Ongoing], A2#)="Upfront", 1, 0),
"")</t>
  </si>
  <si>
    <t>IFERROR(INDEX(tbl_Activities[Affected Stakeholder Group], A2#), "")</t>
  </si>
  <si>
    <t>IFERROR(INDEX(tbl_Activities[Percent Affected], A2#), "")</t>
  </si>
  <si>
    <t>MAKEARRAY(OutputRows, 1, LAMBDA(r,c,
IFERROR(IF(INDEX(AB2#, r)="All Businesses", 0, IF(INDEX(AB2#, r)="Med/Large Businesses", 0, IF(INDEX(AB2#, r)="Small Businesses", 0,
INDEX(TAKE(DROP(I:I,MATCH($I$1,I:I,0)),XMATCH(,DROP(I:I,MATCH($I$1,I:I,0)))-1), r)*
IF(AND(INDEX(AC2#, r)=1, INDEX(H2#, r)="All Groups"), SUMPRODUCT(NonBusinessCounts, (1+NonBusinessGrowthRates)^INDEX(AD2#, r)),
IF(AND(INDEX(AC2#, r)=1, NOT(INDEX(H2#, r)="All Groups")), INDEX(AH2#, r)*(1+INDEX(AI2#, r))^INDEX(AD2#, r),
IF(AND(INDEX(AC2#, r)=2, INDEX(H2#, r)="All Groups"), SUMPRODUCT(NonBusinessCounts, (1+NonBusinessGrowthRates)^IF(NonBusinessGrowthRates&lt;0, INDEX(AD2#, r), INDEX(AE2#, r))),
IF(AND(INDEX(AC2#, r)=2, NOT(INDEX(H2#, r)="All Groups")), INDEX(AH2#, r)*(1+INDEX(AI2#, r))^IF(INDEX(AI2#, r)&lt;0, INDEX(AD2#, r), INDEX(AE2#, r)),
IF(AND(INDEX(AC2#, r)=3, INDEX(H2#, r)="All Groups"), SUMPRODUCT(NonBusinessCounts, (1+IF(NonBusinessGrowthRates&lt;0, 0, NonBusinessGrowthRates))^INDEX(AD2#, r)-(1+IF(NonBusinessGrowthRates&lt;0, 0, NonBusinessGrowthRates))^INDEX(AE2#, r)),
IF(AND(INDEX(AC2#, r)=3, NOT(INDEX(H2#, r)="All Groups")), IF(INDEX(AI2#, r)&lt;0, 0, INDEX(AH2#, r)*((1+INDEX(AI2#, r))^INDEX(AD2#, r)-(1+INDEX(AI2#, r))^INDEX(AE2#, r))),
IF(AND(INDEX(AC2#, r)=4, INDEX(H2#, r)="All Groups"), IF(INDEX(F2#, r)=0, SUMPRODUCT(NonBusinessCounts, (1+NonBusinessGrowthRates)^INDEX(AD2#, r)), LET(g, (1+IF(NonBusinessGrowthRates&lt;0, 0, NonBusinessGrowthRates)), SUMPRODUCT(NonBusinessCounts, g^INDEX(AD2#, r)-g^(INDEX(AD2#, r-1))))),
IF(AND(INDEX(AC2#, r)=4, NOT(INDEX(H2#, r)="All Groups")), IF(INDEX(F2#, r)=0, INDEX(AH2#, r)*(1+INDEX(AI2#, r))^INDEX(AD2#, r), IF(INDEX(AI2#, r)&lt;0, 0, INDEX(AH2#, r)*((1+INDEX(AI2#, r))^INDEX(AD2#, r)-(1+INDEX(AI2#, r))^INDEX(AD2#, r-1)))),
IF(AND(INDEX(AC2#, r)=5, INDEX(H2#, r)="All Groups"), IF(INDEX(F2#, r)&gt;0, 0, SUMPRODUCT(NonBusinessCounts, (1+NonBusinessGrowthRates)^INDEX(AD2#, r))),
IF(AND(INDEX(AC2#, r)=5, NOT(INDEX(H2#, r)="All Groups")), IF(INDEX(F2#, r)&gt;0, 0, INDEX(AH2#, r)*(1+INDEX(AI2#, r))^INDEX(AD2#, r)),
IF(AND(INDEX(AC2#, r)=6, INDEX(H2#, r)="All Groups"), IF(INDEX(F2#, r)=0, 0, LET(g, (1+IF(NonBusinessGrowthRates&lt;0, 0, NonBusinessGrowthRates)), SUMPRODUCT(NonBusinessCounts, g^INDEX(AD2#, r)-g^(INDEX(AD2#, r-1))))),
IF(AND(INDEX(AC2#, r)=6, NOT(INDEX(H2#, r)="All Groups")), IF(INDEX(F2#, r)=0, 0, IF(INDEX(AI2#, r)&lt;0, 0, INDEX(AH2#, r)*((1+INDEX(AI2#, r))^INDEX(AD2#, r)-(1+INDEX(AI2#, r))^INDEX(AD2#, r-1)))),
0))))))))))))))), 0)))</t>
  </si>
  <si>
    <t>MAKEARRAY(OutputRows, 1, LAMBDA(r,c,
IFERROR(IF(INDEX(AB2#, r)="Med/Large Businesses", 0, IF(INDEX(AB2#, r)="All Non-Businesses", 0,
INDEX(TAKE(DROP(I:I,MATCH($I$1,I:I,0)),XMATCH(,DROP(I:I,MATCH($I$1,I:I,0)))-1), r)*
IF(AND(INDEX(AC2#, r)=1, INDEX(H2#, r)="All Groups"), SUMPRODUCT(SmallBusinessCounts, (1+SmallBusinessGrowthRates)^INDEX(AD2#, r)),
IF(AND(INDEX(AC2#, r)=1, NOT(INDEX(H2#, r)="All Groups")), INDEX(AJ2#, r)*(1+INDEX(AK2#, r))^INDEX(AD2#, r),
IF(AND(INDEX(AC2#, r)=2, INDEX(H2#, r)="All Groups"), SUMPRODUCT(SmallBusinessCounts, (1+SmallBusinessGrowthRates)^IF(SmallBusinessGrowthRates&lt;0, INDEX(AD2#, r), INDEX(AE2#, r))),
IF(AND(INDEX(AC2#, r)=2, NOT(INDEX(H2#, r)="All Groups")), INDEX(AJ2#, r)*(1+INDEX(AK2#, r))^IF(INDEX(AK2#, r)&lt;0, INDEX(AD2#, r), INDEX(AE2#, r)),
IF(AND(INDEX(AC2#, r)=3, INDEX(H2#, r)="All Groups"), SUMPRODUCT(SmallBusinessCounts, (1+IF(SmallBusinessGrowthRates&lt;0, 0, SmallBusinessGrowthRates))^INDEX(AD2#, r)-(1+IF(SmallBusinessGrowthRates&lt;0, 0, SmallBusinessGrowthRates))^INDEX(AE2#, r)),
IF(AND(INDEX(AC2#, r)=3, NOT(INDEX(H2#, r)="All Groups")), IF(INDEX(AK2#, r)&lt;0, 0, INDEX(AJ2#, r)*((1+INDEX(AK2#, r))^INDEX(AD2#, r)-(1+INDEX(AK2#, r))^INDEX(AE2#, r))),
IF(AND(INDEX(AC2#, r)=4, INDEX(H2#, r)="All Groups"), IF(INDEX(F2#, r)=0, SUMPRODUCT(SmallBusinessCounts, (1+SmallBusinessGrowthRates)^INDEX(AD2#, r)), LET(g, (1+IF(SmallBusinessGrowthRates&lt;0, 0, SmallBusinessGrowthRates)), SUMPRODUCT(SmallBusinessCounts, g^INDEX(AD2#, r)-g^(INDEX(AD2#, r-1))))),
IF(AND(INDEX(AC2#, r)=4, NOT(INDEX(H2#, r)="All Groups")), IF(INDEX(F2#, r)=0, INDEX(AJ2#, r)*(1+INDEX(AK2#, r))^INDEX(AD2#, r), IF(INDEX(AK2#, r)&lt;0, 0, INDEX(AJ2#, r)*((1+INDEX(AK2#, r))^INDEX(AD2#, r)-(1+INDEX(AK2#, r))^INDEX(AD2#, r-1)))),
IF(AND(INDEX(AC2#, r)=5, INDEX(H2#, r)="All Groups"), IF(INDEX(F2#, r)&gt;0, 0, SUMPRODUCT(SmallBusinessCounts, (1+SmallBusinessGrowthRates)^INDEX(AD2#, r))),
IF(AND(INDEX(AC2#, r)=5, NOT(INDEX(H2#, r)="All Groups")), IF(INDEX(F2#, r)&gt;0, 0, INDEX(AJ2#, r)*(1+INDEX(AK2#, r))^INDEX(AD2#, r)),
IF(AND(INDEX(AC2#, r)=6, INDEX(H2#, r)="All Groups"), IF(INDEX(F2#, r)=0, 0, LET(g, (1+IF(SmallBusinessGrowthRates&lt;0, 0, SmallBusinessGrowthRates)), SUMPRODUCT(SmallBusinessCounts, g^INDEX(AD2#, r)-g^(INDEX(AD2#, r-1))))),
IF(AND(INDEX(AC2#, r)=6, NOT(INDEX(H2#, r)="All Groups")), IF(INDEX(F2#, r)=0, 0, IF(INDEX(AK2#, r)&lt;0, 0, INDEX(AJ2#, r)*((1+INDEX(AK2#, r))^INDEX(AD2#, r)-(1+INDEX(AK2#, r))^INDEX(AD2#, r-1)))),
0)))))))))))))), 0)))</t>
  </si>
  <si>
    <t>MAKEARRAY(OutputRows, 1, LAMBDA(r,c,
IFERROR(IF(INDEX(AB2#, r)="Small Businesses", 0, IF(INDEX(AB2#, r)="All Non-Businesses", 0,
INDEX(TAKE(DROP(I:I,MATCH($I$1,I:I,0)),XMATCH(,DROP(I:I,MATCH($I$1,I:I,0)))-1), r)*
IF(AND(INDEX(AC2#, r)=1, INDEX(H2#, r)="All Groups"), SUMPRODUCT(MedLargeBusinessCounts, (1+MedLargeBusinessGrowthRates)^INDEX(AD2#, r)),
IF(AND(INDEX(AC2#, r)=1, NOT(INDEX(H2#, r)="All Groups")), INDEX(AL2#, r)*(1+INDEX(AM2#, r))^INDEX(AD2#, r),
IF(AND(INDEX(AC2#, r)=2, INDEX(H2#, r)="All Groups"), SUMPRODUCT(MedLargeBusinessCounts, (1+MedLargeBusinessGrowthRates)^IF(MedLargeBusinessGrowthRates&lt;0, INDEX(AD2#, r), INDEX(AE2#, r))),
IF(AND(INDEX(AC2#, r)=2, NOT(INDEX(H2#, r)="All Groups")), INDEX(AL2#, r)*(1+INDEX(AM2#, r))^IF(INDEX(AM2#, r)&lt;0, INDEX(AD2#, r), INDEX(AE2#, r)),
IF(AND(INDEX(AC2#, r)=3, INDEX(H2#, r)="All Groups"), SUMPRODUCT(MedLargeBusinessCounts, (1+IF(MedLargeBusinessGrowthRates&lt;0, 0, MedLargeBusinessGrowthRates))^INDEX(AD2#, r)-(1+IF(MedLargeBusinessGrowthRates&lt;0, 0, MedLargeBusinessGrowthRates))^INDEX(AE2#, r)),
IF(AND(INDEX(AC2#, r)=3, NOT(INDEX(H2#, r)="All Groups")), IF(INDEX(AM2#, r)&lt;0, 0, INDEX(AL2#, r)*((1+INDEX(AM2#, r))^INDEX(AD2#, r)-(1+INDEX(AM2#, r))^INDEX(AE2#, r))),
IF(AND(INDEX(AC2#, r)=4, INDEX(H2#, r)="All Groups"), IF(INDEX(F2#, r)=0, SUMPRODUCT(MedLargeBusinessCounts, (1+MedLargeBusinessGrowthRates)^INDEX(AD2#, r)), LET(g, (1+IF(MedLargeBusinessGrowthRates&lt;0, 0, MedLargeBusinessGrowthRates)), SUMPRODUCT(MedLargeBusinessCounts, g^INDEX(AD2#, r)-g^(INDEX(AD2#, r-1))))),
IF(AND(INDEX(AC2#, r)=4, NOT(INDEX(H2#, r)="All Groups")), IF(INDEX(F2#, r)=0, INDEX(AL2#, r)*(1+INDEX(AM2#, r))^INDEX(AD2#, r), IF(INDEX(AM2#, r)&lt;0, 0, INDEX(AL2#, r)*((1+INDEX(AM2#, r))^INDEX(AD2#, r)-(1+INDEX(AM2#, r))^INDEX(AD2#, r-1)))),
IF(AND(INDEX(AC2#, r)=5, INDEX(H2#, r)="All Groups"), IF(INDEX(F2#, r)&gt;0, 0, SUMPRODUCT(MedLargeBusinessCounts, (1+MedLargeBusinessGrowthRates)^INDEX(AD2#, r))),
IF(AND(INDEX(AC2#, r)=5, NOT(INDEX(H2#, r)="All Groups")), IF(INDEX(F2#, r)&gt;0, 0, INDEX(AL2#, r)*(1+INDEX(AM2#, r))^INDEX(AD2#, r)),
IF(AND(INDEX(AC2#, r)=6, INDEX(H2#, r)="All Groups"), IF(INDEX(F2#, r)=0, 0, LET(g, (1+IF(MedLargeBusinessGrowthRates&lt;0, 0, MedLargeBusinessGrowthRates)), SUMPRODUCT(MedLargeBusinessCounts, g^INDEX(AD2#, r)-g^(INDEX(AD2#, r-1))))),
IF(AND(INDEX(AC2#, r)=6, NOT(INDEX(H2#, r)="All Groups")), IF(INDEX(F2#, r)=0, 0, IF(INDEX(AM2#, r)&lt;0, 0, INDEX(AL2#, r)*((1+INDEX(AM2#, r))^INDEX(AD2#, r)-(1+INDEX(AM2#, r))^INDEX(AD2#, r-1)))),
0)))))))))))))), 0)))</t>
  </si>
  <si>
    <t>LET(
     AffectedNonBusinesses, TAKE(DROP(J:J,MATCH(J$1,J:J,0)),XMATCH(,DROP(J:J,MATCH(J$1,J:J,0)))-1),
IFERROR(M2#*AffectedNonBusinesses, ""))</t>
  </si>
  <si>
    <t>LET(
     AffectedSmallBusinesses, TAKE(DROP(K:K,MATCH(K$1,K:K,0)),XMATCH(,DROP(K:K,MATCH(K$1,K:K,0)))-1),
IFERROR(M2#*AffectedSmallBusinesses, ""))</t>
  </si>
  <si>
    <t>LET(
     AffectedMedLargeBusinesses, TAKE(DROP(L:L,MATCH(L$1,L:L,0)),XMATCH(,DROP(L:L,MATCH(L$1,L:L,0)))-1),
IFERROR(M2#*AffectedMedLargeBusinesses, ""))</t>
  </si>
  <si>
    <t>IFERROR($O$2#+$P$2#,0)</t>
  </si>
  <si>
    <t>IFERROR($Q$2#+$N$2#, 0)</t>
  </si>
  <si>
    <t>IFERROR($N$2#/(1+Discount)^$AF$2#,0)</t>
  </si>
  <si>
    <t>IFERROR($O$2#/(1+Discount)^$AF$2#,0)</t>
  </si>
  <si>
    <t>IFERROR($T$2#+$U$2#, 0)</t>
  </si>
  <si>
    <t>IFERROR($V$2#+$S$2#, 0)</t>
  </si>
  <si>
    <t>IFERROR(--($C$2#="Administrative")*($O$2#+$P$2#)/(1.07)^$AF$2#, 0)</t>
  </si>
  <si>
    <t>Name</t>
  </si>
  <si>
    <t>Value</t>
  </si>
  <si>
    <t>Explanation</t>
  </si>
  <si>
    <t>AF_7_10</t>
  </si>
  <si>
    <t>Annualization factor locked at the parameters needed for one-for-one section</t>
  </si>
  <si>
    <t>Individual Break Down</t>
  </si>
  <si>
    <t>AF</t>
  </si>
  <si>
    <t>Annualization factor that adjusts with discount rate and analytical period length</t>
  </si>
  <si>
    <t>Activity Name</t>
  </si>
  <si>
    <t>IN / OUT</t>
  </si>
  <si>
    <t>Labour / Capital</t>
  </si>
  <si>
    <t>Capital Units</t>
  </si>
  <si>
    <t>Capital Unit Price ($2012)</t>
  </si>
  <si>
    <t>Labour Hours</t>
  </si>
  <si>
    <t>Labour Wage with overhead in $2012</t>
  </si>
  <si>
    <t>Annual Labour Hours</t>
  </si>
  <si>
    <t>Annual Labour Cost ($2012)</t>
  </si>
  <si>
    <t>Total Annual Capital Units</t>
  </si>
  <si>
    <t>Total Annual Capital Cost ($2012)</t>
  </si>
  <si>
    <t>Annualized Impact, in $2012, discounted to 2012</t>
  </si>
  <si>
    <t>Max Businesses</t>
  </si>
  <si>
    <t>Activity Roll Up</t>
  </si>
  <si>
    <t>Annualized Labour IN</t>
  </si>
  <si>
    <t>Annualized Labour OUT</t>
  </si>
  <si>
    <t>Annualized Capital In</t>
  </si>
  <si>
    <t>Annualized Capital Out</t>
  </si>
  <si>
    <t>Net or Total</t>
  </si>
  <si>
    <t>Business Labour IN</t>
  </si>
  <si>
    <t>Businesses Labour OUT</t>
  </si>
  <si>
    <t>Businesses Capital In</t>
  </si>
  <si>
    <t>Businesses Capital Out</t>
  </si>
  <si>
    <t>Average Time IN</t>
  </si>
  <si>
    <t>Average Time OUT</t>
  </si>
  <si>
    <t>UNIT Capital IN</t>
  </si>
  <si>
    <t>UNIT Capital Out</t>
  </si>
  <si>
    <t>Frequency Labour IN</t>
  </si>
  <si>
    <t>Frequency Labour OUT</t>
  </si>
  <si>
    <t>Frequency Capital In</t>
  </si>
  <si>
    <t>Frequency Capital Out</t>
  </si>
  <si>
    <t>Average Wage In</t>
  </si>
  <si>
    <t>Average Wage Out</t>
  </si>
  <si>
    <t>Average Capital Unit Cost In</t>
  </si>
  <si>
    <t>Weighted Capital Unit Cost OUT</t>
  </si>
  <si>
    <t>General Text</t>
  </si>
  <si>
    <t>The one-for-one rule does not apply as the regulation is made by an independent regulatory authority and is outside of the scope of the rule.</t>
  </si>
  <si>
    <t>The one-for-one rule does not apply as there is no impact on business.</t>
  </si>
  <si>
    <t>The one-for-one rule does not apply as there is no incremental change in administrative burden on business and no regulatory titles are repealed or introduced.</t>
  </si>
  <si>
    <t>The one-for-one rule does not apply as there is no incremental change in administrative burden on business. The proposal repeals an existing regulation and replaces it with a new regulatory title, which results in no net increase or decrease in regulatory titles.</t>
  </si>
  <si>
    <t>increase</t>
  </si>
  <si>
    <t>decrease</t>
  </si>
  <si>
    <t xml:space="preserve">Repealed </t>
  </si>
  <si>
    <t>Introduced</t>
  </si>
  <si>
    <t xml:space="preserve">no regulatory titles are repealed or introduced. </t>
  </si>
  <si>
    <t>New Regulation</t>
  </si>
  <si>
    <t xml:space="preserve">a new regulatory title (title in) is introduced. </t>
  </si>
  <si>
    <t>Repeal Only</t>
  </si>
  <si>
    <t xml:space="preserve">an existing regulatory title is repealed (title out). </t>
  </si>
  <si>
    <t>Repeal and Replace</t>
  </si>
  <si>
    <t xml:space="preserve">the proposal repeals an existing regulation and replaces it with a new regulatory title, which results in no net increase or decrease in regulatory titles. </t>
  </si>
  <si>
    <t>Multiple Repeal and Replace (One New title)</t>
  </si>
  <si>
    <t>?</t>
  </si>
  <si>
    <t>Numeral</t>
  </si>
  <si>
    <t>Word</t>
  </si>
  <si>
    <t>one</t>
  </si>
  <si>
    <t>two</t>
  </si>
  <si>
    <t>three</t>
  </si>
  <si>
    <t>four</t>
  </si>
  <si>
    <t>five</t>
  </si>
  <si>
    <t>six</t>
  </si>
  <si>
    <t>seven</t>
  </si>
  <si>
    <t>eight</t>
  </si>
  <si>
    <t xml:space="preserve">nine </t>
  </si>
  <si>
    <t>ten</t>
  </si>
  <si>
    <t>twenty</t>
  </si>
  <si>
    <t>thrity</t>
  </si>
  <si>
    <t>forty</t>
  </si>
  <si>
    <t>fifty</t>
  </si>
  <si>
    <t>one hundred</t>
  </si>
  <si>
    <t>Statistics Canada.Table  14-10-0340-01   Employee wages by occupation, annual, 1997 to 2022</t>
  </si>
  <si>
    <t>Stakeholder 1, Undiscounted Impacts</t>
  </si>
  <si>
    <t>Stakeholder 1, Discounted Impacts</t>
  </si>
  <si>
    <t>IFERROR(
IF(AA2#="Start of Analytical Period", YearOfRegistration,
IF(AA2#="End of Analytical Period", YearOfRegistration+Timeperiod-1,
AA2#))
+ROUNDUP(IF(F2#/G2#-1&lt;0, 0, F2#/G2#-1), 0), "")</t>
  </si>
  <si>
    <t>IFERROR(IF(INDEX(tbl_Activities[Upfront or  Ongoing], A2#)="Ongoing", INDEX(tbl_Activities[Annual Frequency], A2#), 1), "")</t>
  </si>
  <si>
    <t>IFERROR(
LET(
     InternalExternal, INDEX(tbl_Activities[Labour: Internal or External Overhead], A2#),
     CapitalLabour, INDEX(tbl_Activities[Capital or Labour], A2#),
IF(D2#="Out", -1, 1)*
IF(CapitalLabour="Capital", INDEX(tbl_Activities[Capital: Number of Units], A2#)*INDEX(tbl_Activities[Capital: Unit Price], A2#)
     *INDEX(tbl_CPI[Index], MATCH(PriceYear, tbl_CPI[Year], 0))/INDEX(tbl_CPI[Index], MATCH(INDEX(tbl_Activities[Capital: Price Year of Unit Price], A2#), tbl_CPI[Year], 0)),
IF(CapitalLabour="Labour", INDEX(tbl_Wages[Wage in price year of analysis (without overhead)], MATCH(INDEX(TEXTBEFORE(tbl_Activities[Labour: Staff Level (Wage Without Overhead)], " ($"), A2#), tbl_Wages[National Occupational Classification (NOC)], 0))
          *(1+IF(InternalExternal="Internal (25%)", 0.25, IF(InternalExternal="External (50%)", 0.5, 0)))
          *(INDEX(tbl_Activities[Labour: Time Spent (hours)], A2#)),
""))),
"")</t>
  </si>
  <si>
    <t>IFERROR(P2#/(1+Discount)^$AF$2#,0)</t>
  </si>
  <si>
    <t>INDEX(tbl_Activities[Start Year], $A$2#)</t>
  </si>
  <si>
    <t>INDEX(tbl_Activities[Affected Stakeholder Type], A2#)</t>
  </si>
  <si>
    <t>INDEX(ActivityType, A2#)</t>
  </si>
  <si>
    <t>IFERROR(
IF(AA2#="Start of Analytical Period", F2#/G2#,
IF(AA2#="End of Analytical Period",Timeperiod-1+F2#/G2#,
AA2#-YearOfRegistration+F2#/G2#)),
"")</t>
  </si>
  <si>
    <t>IFERROR(
IF(AA2#="Start of Analytical Period", 0,
IF(AA2#="End of Analytical Period", Timeperiod-1,
AA2#-YearOfRegistration)),
"")</t>
  </si>
  <si>
    <t>IFERROR(
IF(AA2#="Start of Analytical Period", (YearOfRegistration-PVBaseYear)+$F$2#/$G$2#,
IF(AA2#="End of Analytical Period", (YearOfRegistration-PVBaseYear)+Timeperiod-1+$F$2#/$G$2#,
AA2#-PVBaseYear+$F$2#/$G$2#)),
"")</t>
  </si>
  <si>
    <t>IFERROR(MATCH(INDEX(tbl_Activities[Affected Stakeholder Group], 'Full Output'!$A$2#), FILTER(tbl_Stakeholders[Stakeholder Group], tbl_Stakeholders[Stakeholder Group]&lt;&gt;""), 0), "")</t>
  </si>
  <si>
    <t>IFERROR(INDEX(NonBusinessCounts, AG2#), "")</t>
  </si>
  <si>
    <t>IFERROR(INDEX(NonBusinessGrowthRates, AG2#), "")</t>
  </si>
  <si>
    <t>IFERROR(INDEX(SmallBusinessCounts, AG2#), "")</t>
  </si>
  <si>
    <t>IFERROR(INDEX(SmallBusinessGrowthRates, AG2#), "")</t>
  </si>
  <si>
    <t>IFERROR(INDEX(MedLargeBusinessCounts, AG2#), "")</t>
  </si>
  <si>
    <t>IFERROR(INDEX(MedLargeBusinessGrowthRates, AG2#), "")</t>
  </si>
  <si>
    <t>IFERROR(LET(
nonbusinesscosts_undiscounted, MAKEARRAY(OutputRows,StakeholderCols,LAMBDA(r,c, LET(AllGroups, INDEX(H2#, r)="All Groups", ThisGroup, IF(c=INDEX(AG2#, r), INDEX(J2#, r), 0),
IF(INDEX(AB2#, r)="Med/Large Businesses", 0, IF(INDEX(AB2#, r)="All Businesses", 0, IF(INDEX(AB2#, r)=" Small Businesses", 0,
INDEX(M2#, r)*
IF(INDEX(AC2#,r)=1, IF(AllGroups, INDEX(I2#, r)*INDEX(NonBusinessCounts,c)*(1+INDEX(NonBusinessGrowthRates, c))^INDEX(AD2#, r), ThisGroup),
IF(INDEX(AC2#,r)=2, IF(AllGroups, INDEX(I2#, r)*INDEX(NonBusinessCounts, c)*(1+INDEX(NonBusinessGrowthRates, c))^IF(INDEX(NonBusinessGrowthRates, c)&lt;0, INDEX(AD2#, r), INDEX(AE2#, r)), ThisGroup),
IF(INDEX(AC2#,r)=3, IF(AllGroups, INDEX(I2#, r)*INDEX(NonBusinessCounts, c)*((1+MAX(INDEX(NonBusinessGrowthRates, c), 0))^INDEX(AD2#, r)-(1+MAX(INDEX(NonBusinessGrowthRates, c), 0))^INDEX(AE2#, r)), ThisGroup),
IF(INDEX(AC2#,r)=4, IF(AllGroups, INDEX(I2#, r)*IF(INDEX(F2#,r)=0, INDEX(NonBusinessCounts, c)*(1+INDEX(NonBusinessGrowthRates, c))^INDEX(AD2#, r), INDEX(NonBusinessCounts, c)*(((1+MAX(INDEX(NonBusinessGrowthRates, c), 0))^INDEX(AD2#, r))-(1+MAX(INDEX(NonBusinessGrowthRates, c), 0))^INDEX(AD2#, r-1))), ThisGroup),
IF(INDEX(AC2#,r)=5, IF(AllGroups, INDEX(I2#, r)*IF(INDEX(F2#,r)=0, INDEX(NonBusinessCounts, c)*(1+INDEX(NonBusinessGrowthRates, c))^INDEX(AD2#, r), 0), ThisGroup),
IF(INDEX(AC2#,r)=6, IF(AllGroups, INDEX(I2#, r)*IF(INDEX(F2#, r)=0, 0, INDEX(NonBusinessCounts, c)*(((1+MAX(INDEX(NonBusinessGrowthRates, c), 0))^INDEX(AD2#, r))-(1+MAX(INDEX(NonBusinessGrowthRates, c), 0))^INDEX(AD2#, r-1))), AP2),
0)))))))))))),
smallbusinesscosts_undiscounted, MAKEARRAY(OutputRows,StakeholderCols,LAMBDA(r,c, LET(AllGroups, INDEX(H2#, r)="All Groups", ThisGroup, IF(c=INDEX(AG2#, r), INDEX(K2#, r), 0),
IF(INDEX(AB2#, r)="Med/Large Businesses", 0, IF(INDEX(AB2#, r)="All Non-Businesses", 0,
INDEX(M2#, r)*
IF(INDEX(AC2#,r)=1, IF(AllGroups, INDEX(I2#, r)*INDEX(SmallBusinessCounts,c)*(1+INDEX(SmallBusinessGrowthRates, c))^INDEX(AD2#, r), ThisGroup),
IF(INDEX(AC2#,r)=2, IF(AllGroups, INDEX(I2#, r)*INDEX(SmallBusinessCounts, c)*(1+INDEX(SmallBusinessGrowthRates, c))^IF(INDEX(SmallBusinessGrowthRates, c)&lt;0, INDEX(AD2#, r), INDEX(AE2#, r)), ThisGroup),
IF(INDEX(AC2#,r)=3, IF(AllGroups, INDEX(I2#, r)*INDEX(SmallBusinessCounts, c)*((1+MAX(INDEX(SmallBusinessGrowthRates, c), 0))^INDEX(AD2#, r)-(1+MAX(INDEX(SmallBusinessGrowthRates, c), 0))^INDEX(AE2#, r)), ThisGroup),
IF(INDEX(AC2#,r)=4, IF(AllGroups, INDEX(I2#, r)*IF(INDEX(F2#,r)=0, INDEX(SmallBusinessCounts, c)*(1+INDEX(SmallBusinessGrowthRates, c))^INDEX(AD2#, r), INDEX(SmallBusinessCounts, c)*(((1+MAX(INDEX(SmallBusinessGrowthRates, c), 0))^INDEX(AD2#, r))-(1+MAX(INDEX(SmallBusinessGrowthRates, c), 0))^INDEX(AD2#, r-1))), ThisGroup),
IF(INDEX(AC2#,r)=5, IF(AllGroups, INDEX(I2#, r)*IF(INDEX(F2#,r)=0, INDEX(SmallBusinessCounts, c)*(1+INDEX(SmallBusinessGrowthRates, c))^INDEX(AD2#, r), 0), ThisGroup),
IF(INDEX(AC2#,r)=6, IF(AllGroups, INDEX(I2#, r)*IF(INDEX(F2#, r)=0, 0, INDEX(SmallBusinessCounts, c)*(((1+MAX(INDEX(SmallBusinessGrowthRates, c), 0))^INDEX(AD2#, r))-(1+MAX(INDEX(SmallBusinessGrowthRates, c), 0))^INDEX(AD2#, r-1))), ThisGroup),
0))))))))))),
medlargebusinesscosts_undiscounted, MAKEARRAY(OutputRows,StakeholderCols,LAMBDA(r,c, LET(AllGroups, INDEX(H2#, r)="All Groups", ThisGroup, IF(c=INDEX(AG2#, r), INDEX(L2#, r), 0),
IF(INDEX(AB2#, r)="Small Businesses", 0, IF(INDEX(AB2#, r)="All Non-Businesses", 0,
INDEX(M2#, r)*
IF(INDEX(AC2#,r)=1, IF(AllGroups, INDEX(I2#, r)*INDEX(MedLargeBusinessCounts,c)*(1+INDEX(MedLargeBusinessGrowthRates, c))^INDEX(AD2#, r), ThisGroup),
IF(INDEX(AC2#,r)=2, IF(AllGroups, INDEX(I2#, r)*INDEX(MedLargeBusinessCounts, c)*(1+INDEX(MedLargeBusinessGrowthRates, c))^IF(INDEX(MedLargeBusinessGrowthRates, c)&lt;0, INDEX(AD2#, r), INDEX(AE2#, r)), ThisGroup),
IF(INDEX(AC2#,r)=3, IF(AllGroups, INDEX(I2#, r)*INDEX(MedLargeBusinessCounts, c)*((1+MAX(INDEX(MedLargeBusinessGrowthRates, c), 0))^INDEX(AD2#, r)-(1+MAX(INDEX(MedLargeBusinessGrowthRates, c), 0))^INDEX(AE2#, r)), ThisGroup),
IF(INDEX(AC2#,r)=4, IF(AllGroups, INDEX(I2#, r)*IF(INDEX(F2#,r)=0, INDEX(MedLargeBusinessCounts, c)*(1+INDEX(MedLargeBusinessGrowthRates, c))^INDEX(AD2#, r), INDEX(MedLargeBusinessCounts, c)*(((1+MAX(INDEX(MedLargeBusinessGrowthRates, c), 0))^INDEX(AD2#, r))-(1+MAX(INDEX(MedLargeBusinessGrowthRates, c), 0))^INDEX(AD2#, r-1))), ThisGroup),
IF(INDEX(AC2#,r)=5, IF(AllGroups, INDEX(I2#, r)*IF(INDEX(F2#,r)=0, INDEX(MedLargeBusinessCounts, c)*(1+INDEX(MedLargeBusinessGrowthRates, c))^INDEX(AD2#, r), 0), ThisGroup),
IF(INDEX(AC2#,r)=6, IF(AllGroups, INDEX(I2#, r)*IF(INDEX(F2#, r)=0, 0, INDEX(MedLargeBusinessCounts, c)*(((1+MAX(INDEX(MedLargeBusinessGrowthRates, c), 0))^INDEX(AD2#, r))-(1+MAX(INDEX(MedLargeBusinessGrowthRates, c), 0))^INDEX(AD2#, r-1))), ThisGroup),
0))))))))))),
x, nonbusinesscosts_undiscounted+smallbusinesscosts_undiscounted+medlargebusinesscosts_undiscounted,
HSTACK(x, x/(1+Discount)^AF2#)), "")</t>
  </si>
  <si>
    <t>Wage drop-down List</t>
  </si>
  <si>
    <t>Decimals for Wage Drop-down List</t>
  </si>
  <si>
    <t>Stakeholder Drop-down List</t>
  </si>
  <si>
    <t>Discount Rate Drop-down List</t>
  </si>
  <si>
    <t>Analytical Timeline Drop-down List</t>
  </si>
  <si>
    <t>YoR &amp; PV Base Year Drop-down List</t>
  </si>
  <si>
    <t>Price Year Drop-down List</t>
  </si>
  <si>
    <t>Activity Start/End Drop-down List</t>
  </si>
  <si>
    <t>Assumptions/Notes</t>
  </si>
  <si>
    <t>Error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</si>
</sst>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quot;$&quot;#,##0"/>
    <numFmt numFmtId="166" formatCode="&quot;$&quot;#,##0.00"/>
    <numFmt numFmtId="167" formatCode="_-* #,##0.0000000000000_-;\-* #,##0.0000000000000_-;_-* &quot;-&quot;??_-;_-@_-"/>
    <numFmt numFmtId="168" formatCode="0.0"/>
  </numFmts>
  <fonts count="36" x14ac:knownFonts="1">
    <font>
      <sz val="11"/>
      <color theme="1"/>
      <name val="Calibri"/>
      <family val="2"/>
      <scheme val="minor"/>
    </font>
    <font>
      <sz val="11"/>
      <color theme="1"/>
      <name val="Calibri"/>
      <family val="2"/>
      <scheme val="minor"/>
    </font>
    <font>
      <b/>
      <u/>
      <sz val="11"/>
      <color theme="1"/>
      <name val="Calibri"/>
      <family val="2"/>
      <scheme val="minor"/>
    </font>
    <font>
      <sz val="8"/>
      <name val="Calibri"/>
      <family val="2"/>
      <scheme val="minor"/>
    </font>
    <font>
      <sz val="10"/>
      <name val="Arial"/>
      <family val="2"/>
    </font>
    <font>
      <b/>
      <sz val="11"/>
      <color rgb="FFFFFFFF"/>
      <name val="Calibri"/>
      <family val="2"/>
      <scheme val="minor"/>
    </font>
    <font>
      <b/>
      <sz val="11"/>
      <color rgb="FFCCDC00"/>
      <name val="Arial"/>
      <family val="2"/>
    </font>
    <font>
      <b/>
      <u/>
      <sz val="12"/>
      <color theme="1"/>
      <name val="Arial"/>
      <family val="2"/>
    </font>
    <font>
      <b/>
      <sz val="11"/>
      <color rgb="FF000000"/>
      <name val="Calibri"/>
      <family val="2"/>
      <scheme val="minor"/>
    </font>
    <font>
      <b/>
      <sz val="11"/>
      <color theme="0"/>
      <name val="Calibri"/>
      <family val="2"/>
      <scheme val="minor"/>
    </font>
    <font>
      <u/>
      <sz val="11"/>
      <color theme="10"/>
      <name val="Calibri"/>
      <family val="2"/>
      <scheme val="minor"/>
    </font>
    <font>
      <sz val="10"/>
      <color theme="1"/>
      <name val="Arial"/>
      <family val="2"/>
    </font>
    <font>
      <i/>
      <sz val="11"/>
      <color theme="1"/>
      <name val="Calibri"/>
      <family val="2"/>
      <scheme val="minor"/>
    </font>
    <font>
      <sz val="9"/>
      <color theme="1"/>
      <name val="Arial"/>
      <family val="2"/>
    </font>
    <font>
      <b/>
      <sz val="9"/>
      <color theme="1"/>
      <name val="Arial"/>
      <family val="2"/>
    </font>
    <font>
      <b/>
      <sz val="10"/>
      <color theme="1"/>
      <name val="Arial"/>
      <family val="2"/>
    </font>
    <font>
      <b/>
      <u/>
      <sz val="9"/>
      <color theme="1"/>
      <name val="Arial"/>
      <family val="2"/>
    </font>
    <font>
      <sz val="8"/>
      <color rgb="FF333333"/>
      <name val="Segoe UI"/>
      <family val="2"/>
    </font>
    <font>
      <sz val="11"/>
      <name val="Arial"/>
      <family val="2"/>
    </font>
    <font>
      <i/>
      <sz val="9"/>
      <color theme="1"/>
      <name val="Arial"/>
      <family val="2"/>
    </font>
    <font>
      <sz val="11"/>
      <color theme="1"/>
      <name val="Aptos"/>
      <family val="2"/>
    </font>
    <font>
      <sz val="14"/>
      <color theme="1"/>
      <name val="Arial"/>
      <family val="2"/>
    </font>
    <font>
      <sz val="11"/>
      <name val="Calibri"/>
      <family val="2"/>
      <scheme val="minor"/>
    </font>
    <font>
      <b/>
      <sz val="9"/>
      <color rgb="FFCCDC00"/>
      <name val="Arial"/>
      <family val="2"/>
    </font>
    <font>
      <sz val="9"/>
      <name val="Arial"/>
      <family val="2"/>
    </font>
    <font>
      <sz val="9"/>
      <color rgb="FFFF0000"/>
      <name val="Arial"/>
      <family val="2"/>
    </font>
    <font>
      <b/>
      <u/>
      <sz val="10"/>
      <color theme="1"/>
      <name val="Arial"/>
      <family val="2"/>
    </font>
    <font>
      <b/>
      <sz val="10"/>
      <color rgb="FFCCDC00"/>
      <name val="Arial"/>
      <family val="2"/>
    </font>
    <font>
      <b/>
      <u/>
      <sz val="9"/>
      <color theme="10"/>
      <name val="Arial"/>
      <family val="2"/>
    </font>
    <font>
      <sz val="11"/>
      <color theme="0"/>
      <name val="Calibri"/>
      <family val="2"/>
      <scheme val="minor"/>
    </font>
    <font>
      <i/>
      <sz val="10"/>
      <color theme="1"/>
      <name val="Arial"/>
      <family val="2"/>
    </font>
    <font>
      <sz val="9"/>
      <color theme="0" tint="-0.249977111117893"/>
      <name val="Arial"/>
      <family val="2"/>
    </font>
    <font>
      <b/>
      <sz val="18"/>
      <color rgb="FFFF0000"/>
      <name val="Arial"/>
      <family val="2"/>
    </font>
    <font>
      <b/>
      <sz val="11"/>
      <color theme="1"/>
      <name val="Calibri"/>
      <family val="2"/>
      <scheme val="minor"/>
    </font>
    <font>
      <sz val="11"/>
      <color rgb="FF000000"/>
      <name val="Calibri"/>
      <family val="2"/>
    </font>
    <font>
      <b/>
      <u/>
      <sz val="11"/>
      <color theme="10"/>
      <name val="Arial"/>
      <family val="2"/>
    </font>
  </fonts>
  <fills count="12">
    <fill>
      <patternFill patternType="none"/>
    </fill>
    <fill>
      <patternFill patternType="gray125"/>
    </fill>
    <fill>
      <patternFill patternType="solid">
        <fgColor rgb="FF005172"/>
        <bgColor indexed="64"/>
      </patternFill>
    </fill>
    <fill>
      <patternFill patternType="solid">
        <fgColor rgb="FF00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4" fillId="0" borderId="0" applyFont="0" applyFill="0" applyBorder="0" applyAlignment="0" applyProtection="0"/>
    <xf numFmtId="0" fontId="4" fillId="0" borderId="0"/>
    <xf numFmtId="0" fontId="10" fillId="0" borderId="0" applyNumberFormat="0" applyFill="0" applyBorder="0" applyAlignment="0" applyProtection="0"/>
  </cellStyleXfs>
  <cellXfs count="183">
    <xf numFmtId="0" fontId="0" fillId="0" borderId="0" xfId="0"/>
    <xf numFmtId="0" fontId="2" fillId="0" borderId="0" xfId="0" applyFont="1"/>
    <xf numFmtId="0" fontId="0" fillId="0" borderId="1" xfId="0" applyBorder="1"/>
    <xf numFmtId="166" fontId="0" fillId="0" borderId="0" xfId="0" applyNumberFormat="1"/>
    <xf numFmtId="0" fontId="5" fillId="3" borderId="0" xfId="0" applyFont="1" applyFill="1" applyAlignment="1">
      <alignment vertical="center" wrapText="1"/>
    </xf>
    <xf numFmtId="166" fontId="0" fillId="0" borderId="0" xfId="0" applyNumberFormat="1" applyAlignment="1">
      <alignment horizontal="right" vertical="center"/>
    </xf>
    <xf numFmtId="0" fontId="9" fillId="3" borderId="0" xfId="0" applyFont="1" applyFill="1" applyAlignment="1">
      <alignment vertical="center" wrapText="1"/>
    </xf>
    <xf numFmtId="2" fontId="0" fillId="0" borderId="0" xfId="0" applyNumberFormat="1"/>
    <xf numFmtId="0" fontId="0" fillId="0" borderId="0" xfId="0" applyAlignment="1">
      <alignment wrapText="1"/>
    </xf>
    <xf numFmtId="0" fontId="14" fillId="0" borderId="1" xfId="0" applyFont="1" applyBorder="1" applyAlignment="1">
      <alignment horizontal="right"/>
    </xf>
    <xf numFmtId="0" fontId="14" fillId="0" borderId="1" xfId="0" applyFont="1" applyBorder="1"/>
    <xf numFmtId="165" fontId="13" fillId="0" borderId="1" xfId="0" applyNumberFormat="1" applyFont="1" applyBorder="1" applyAlignment="1">
      <alignment horizontal="right" vertical="center"/>
    </xf>
    <xf numFmtId="0" fontId="7" fillId="0" borderId="0" xfId="0" applyFont="1" applyAlignment="1">
      <alignment vertical="center"/>
    </xf>
    <xf numFmtId="0" fontId="13" fillId="0" borderId="0" xfId="0" applyFont="1" applyAlignment="1">
      <alignment horizontal="right" vertical="center"/>
    </xf>
    <xf numFmtId="0" fontId="0" fillId="6" borderId="0" xfId="0" applyFill="1"/>
    <xf numFmtId="0" fontId="8" fillId="0" borderId="1" xfId="0" applyFont="1" applyBorder="1" applyAlignment="1">
      <alignment horizontal="center" vertical="center" wrapText="1"/>
    </xf>
    <xf numFmtId="0" fontId="13" fillId="0" borderId="0" xfId="0" applyFont="1"/>
    <xf numFmtId="167" fontId="0" fillId="0" borderId="0" xfId="1" applyNumberFormat="1" applyFont="1"/>
    <xf numFmtId="3" fontId="0" fillId="0" borderId="0" xfId="0" applyNumberFormat="1"/>
    <xf numFmtId="0" fontId="0" fillId="0" borderId="0" xfId="0" applyAlignment="1">
      <alignment vertical="center" wrapText="1"/>
    </xf>
    <xf numFmtId="0" fontId="0" fillId="7" borderId="0" xfId="0" applyFill="1"/>
    <xf numFmtId="9" fontId="0" fillId="0" borderId="0" xfId="2" applyFont="1" applyAlignment="1">
      <alignment horizontal="right"/>
    </xf>
    <xf numFmtId="0" fontId="13" fillId="0" borderId="0" xfId="0" applyFont="1" applyAlignment="1">
      <alignment vertical="top" wrapText="1"/>
    </xf>
    <xf numFmtId="0" fontId="18" fillId="0" borderId="1" xfId="4" applyFont="1" applyBorder="1" applyAlignment="1" applyProtection="1">
      <alignment horizontal="center" vertical="center" wrapText="1"/>
      <protection locked="0"/>
    </xf>
    <xf numFmtId="0" fontId="18" fillId="0" borderId="1" xfId="4" applyFont="1" applyBorder="1" applyAlignment="1" applyProtection="1">
      <alignment vertical="center" wrapText="1"/>
      <protection locked="0"/>
    </xf>
    <xf numFmtId="9" fontId="18" fillId="0" borderId="1" xfId="2" applyFont="1" applyBorder="1" applyAlignment="1" applyProtection="1">
      <alignment horizontal="center" vertical="center" wrapText="1"/>
      <protection locked="0"/>
    </xf>
    <xf numFmtId="0" fontId="6" fillId="2" borderId="12" xfId="4" applyFont="1" applyFill="1" applyBorder="1" applyAlignment="1" applyProtection="1">
      <alignment vertical="center"/>
      <protection hidden="1"/>
    </xf>
    <xf numFmtId="0" fontId="6" fillId="2" borderId="12" xfId="4" applyFont="1" applyFill="1" applyBorder="1" applyAlignment="1" applyProtection="1">
      <alignment horizontal="left" vertical="center" wrapText="1"/>
      <protection hidden="1"/>
    </xf>
    <xf numFmtId="0" fontId="6" fillId="2" borderId="3" xfId="4" applyFont="1" applyFill="1" applyBorder="1" applyAlignment="1" applyProtection="1">
      <alignment horizontal="left" vertical="center" wrapText="1"/>
      <protection hidden="1"/>
    </xf>
    <xf numFmtId="0" fontId="18" fillId="0" borderId="0" xfId="4" applyFont="1"/>
    <xf numFmtId="0" fontId="6" fillId="0" borderId="0" xfId="4" applyFont="1" applyAlignment="1" applyProtection="1">
      <alignment horizontal="center" vertical="center"/>
      <protection hidden="1"/>
    </xf>
    <xf numFmtId="0" fontId="0" fillId="0" borderId="0" xfId="0" applyAlignment="1">
      <alignment horizontal="center" vertical="center"/>
    </xf>
    <xf numFmtId="2" fontId="0" fillId="0" borderId="0" xfId="0" applyNumberFormat="1" applyAlignment="1">
      <alignment horizontal="center" vertical="center"/>
    </xf>
    <xf numFmtId="0" fontId="12" fillId="0" borderId="0" xfId="0" applyFont="1" applyAlignment="1">
      <alignment horizontal="center" vertical="center"/>
    </xf>
    <xf numFmtId="0" fontId="14" fillId="0" borderId="0" xfId="0" applyFont="1" applyAlignment="1">
      <alignment horizontal="left" vertical="center" wrapText="1"/>
    </xf>
    <xf numFmtId="0" fontId="13" fillId="0" borderId="0" xfId="1" applyNumberFormat="1" applyFont="1" applyBorder="1"/>
    <xf numFmtId="0" fontId="19" fillId="0" borderId="0" xfId="0" applyFont="1" applyAlignment="1">
      <alignment horizontal="left" vertical="center" wrapText="1" indent="5"/>
    </xf>
    <xf numFmtId="0" fontId="14" fillId="0" borderId="0" xfId="0" applyFont="1" applyAlignment="1">
      <alignment vertical="top" wrapText="1"/>
    </xf>
    <xf numFmtId="0" fontId="13" fillId="0" borderId="0" xfId="0" applyFont="1" applyAlignment="1">
      <alignment wrapText="1"/>
    </xf>
    <xf numFmtId="0" fontId="7" fillId="0" borderId="0" xfId="0" applyFont="1" applyAlignment="1">
      <alignment wrapText="1"/>
    </xf>
    <xf numFmtId="0" fontId="16" fillId="0" borderId="0" xfId="0" applyFont="1" applyAlignment="1">
      <alignment wrapText="1"/>
    </xf>
    <xf numFmtId="0" fontId="14" fillId="0" borderId="0" xfId="0" applyFont="1" applyAlignment="1">
      <alignment horizontal="right" wrapText="1"/>
    </xf>
    <xf numFmtId="0" fontId="19" fillId="0" borderId="0" xfId="0" applyFont="1" applyAlignment="1">
      <alignment horizontal="left" vertical="center" wrapText="1"/>
    </xf>
    <xf numFmtId="0" fontId="14" fillId="0" borderId="1" xfId="0" applyFont="1" applyBorder="1" applyAlignment="1">
      <alignment wrapText="1"/>
    </xf>
    <xf numFmtId="0" fontId="13" fillId="0" borderId="1" xfId="0" applyFont="1" applyBorder="1" applyAlignment="1">
      <alignment wrapText="1"/>
    </xf>
    <xf numFmtId="0" fontId="11" fillId="0" borderId="0" xfId="0" applyFont="1" applyAlignment="1">
      <alignment horizontal="right" vertical="center"/>
    </xf>
    <xf numFmtId="0" fontId="7" fillId="0" borderId="0" xfId="0" applyFont="1" applyAlignment="1">
      <alignment horizontal="left" vertical="center" wrapText="1"/>
    </xf>
    <xf numFmtId="0" fontId="13" fillId="0" borderId="0" xfId="0" applyFont="1" applyAlignment="1">
      <alignment horizontal="left" vertical="center" wrapText="1"/>
    </xf>
    <xf numFmtId="0" fontId="20" fillId="0" borderId="0" xfId="0" applyFont="1" applyAlignment="1">
      <alignment vertical="center"/>
    </xf>
    <xf numFmtId="0" fontId="0" fillId="0" borderId="0" xfId="0" applyAlignment="1">
      <alignment vertical="top" wrapText="1"/>
    </xf>
    <xf numFmtId="0" fontId="21" fillId="0" borderId="0" xfId="0" applyFont="1" applyAlignment="1">
      <alignment vertical="top" wrapText="1"/>
    </xf>
    <xf numFmtId="0" fontId="22" fillId="0" borderId="0" xfId="0" applyFont="1"/>
    <xf numFmtId="0" fontId="17" fillId="0" borderId="0" xfId="0" applyFont="1"/>
    <xf numFmtId="1" fontId="18" fillId="8" borderId="1" xfId="2" applyNumberFormat="1" applyFont="1" applyFill="1" applyBorder="1" applyAlignment="1" applyProtection="1">
      <alignment horizontal="center" vertical="center" wrapText="1"/>
      <protection locked="0"/>
    </xf>
    <xf numFmtId="0" fontId="23" fillId="2" borderId="2" xfId="4" applyFont="1" applyFill="1" applyBorder="1" applyAlignment="1" applyProtection="1">
      <alignment horizontal="center" vertical="center" wrapText="1"/>
      <protection hidden="1"/>
    </xf>
    <xf numFmtId="0" fontId="23" fillId="2" borderId="3" xfId="4" applyFont="1" applyFill="1" applyBorder="1" applyAlignment="1" applyProtection="1">
      <alignment horizontal="center" vertical="center" wrapText="1"/>
      <protection hidden="1"/>
    </xf>
    <xf numFmtId="9" fontId="23" fillId="2" borderId="3" xfId="4" applyNumberFormat="1" applyFont="1" applyFill="1" applyBorder="1" applyAlignment="1" applyProtection="1">
      <alignment horizontal="center" vertical="center" wrapText="1"/>
      <protection hidden="1"/>
    </xf>
    <xf numFmtId="0" fontId="23" fillId="2" borderId="4" xfId="4" applyFont="1" applyFill="1" applyBorder="1" applyAlignment="1" applyProtection="1">
      <alignment horizontal="center" vertical="center" wrapText="1"/>
      <protection hidden="1"/>
    </xf>
    <xf numFmtId="3" fontId="24" fillId="0" borderId="7" xfId="4" applyNumberFormat="1" applyFont="1" applyBorder="1" applyAlignment="1" applyProtection="1">
      <alignment horizontal="center" vertical="center" wrapText="1"/>
      <protection locked="0"/>
    </xf>
    <xf numFmtId="3" fontId="24" fillId="0" borderId="8" xfId="4" applyNumberFormat="1" applyFont="1" applyBorder="1" applyAlignment="1" applyProtection="1">
      <alignment horizontal="center" vertical="center" wrapText="1"/>
      <protection locked="0"/>
    </xf>
    <xf numFmtId="0" fontId="23" fillId="0" borderId="0" xfId="5" applyFont="1" applyFill="1" applyBorder="1" applyAlignment="1">
      <alignment horizontal="center" vertical="center" wrapText="1"/>
    </xf>
    <xf numFmtId="0" fontId="25" fillId="0" borderId="0" xfId="0" applyFont="1" applyAlignment="1">
      <alignment wrapText="1"/>
    </xf>
    <xf numFmtId="0" fontId="19" fillId="0" borderId="0" xfId="0" applyFont="1" applyAlignment="1">
      <alignment wrapText="1"/>
    </xf>
    <xf numFmtId="0" fontId="14" fillId="0" borderId="4" xfId="0" applyFont="1" applyBorder="1" applyAlignment="1">
      <alignment vertical="center"/>
    </xf>
    <xf numFmtId="0" fontId="14" fillId="0" borderId="4" xfId="0" applyFont="1" applyBorder="1" applyAlignment="1">
      <alignment horizontal="center" vertical="center" wrapText="1"/>
    </xf>
    <xf numFmtId="0" fontId="24" fillId="0" borderId="5" xfId="4" applyFont="1" applyBorder="1" applyAlignment="1">
      <alignment wrapText="1"/>
    </xf>
    <xf numFmtId="0" fontId="24" fillId="0" borderId="1" xfId="4" applyFont="1" applyBorder="1" applyAlignment="1">
      <alignment horizontal="center"/>
    </xf>
    <xf numFmtId="166" fontId="24" fillId="0" borderId="6" xfId="4" applyNumberFormat="1" applyFont="1" applyBorder="1"/>
    <xf numFmtId="0" fontId="14" fillId="0" borderId="0" xfId="0" applyFont="1"/>
    <xf numFmtId="0" fontId="13" fillId="0" borderId="0" xfId="0" applyFont="1" applyAlignment="1">
      <alignment horizontal="right"/>
    </xf>
    <xf numFmtId="0" fontId="13" fillId="0" borderId="0" xfId="0" applyFont="1" applyAlignment="1">
      <alignment horizontal="left"/>
    </xf>
    <xf numFmtId="0" fontId="16" fillId="0" borderId="0" xfId="0" applyFont="1" applyAlignment="1">
      <alignment vertical="center"/>
    </xf>
    <xf numFmtId="0" fontId="19" fillId="0" borderId="0" xfId="0" applyFont="1"/>
    <xf numFmtId="3" fontId="24" fillId="5" borderId="8" xfId="4" applyNumberFormat="1" applyFont="1" applyFill="1" applyBorder="1" applyAlignment="1" applyProtection="1">
      <alignment horizontal="center" vertical="center" wrapText="1"/>
      <protection locked="0"/>
    </xf>
    <xf numFmtId="0" fontId="13" fillId="0" borderId="0" xfId="0" applyFont="1" applyAlignment="1">
      <alignment vertical="center"/>
    </xf>
    <xf numFmtId="0" fontId="13" fillId="0" borderId="9" xfId="0" applyFont="1" applyBorder="1" applyAlignment="1">
      <alignment horizontal="right" vertical="center" wrapText="1"/>
    </xf>
    <xf numFmtId="0" fontId="13" fillId="0" borderId="10" xfId="0" applyFont="1" applyBorder="1" applyAlignment="1">
      <alignment horizontal="right" vertical="center" wrapText="1"/>
    </xf>
    <xf numFmtId="0" fontId="13" fillId="0" borderId="4" xfId="0" applyFont="1" applyBorder="1" applyAlignment="1">
      <alignment horizontal="right" vertical="center" wrapText="1"/>
    </xf>
    <xf numFmtId="166" fontId="13" fillId="0" borderId="7" xfId="0" applyNumberFormat="1" applyFont="1" applyBorder="1" applyAlignment="1">
      <alignment horizontal="right" vertical="center"/>
    </xf>
    <xf numFmtId="166" fontId="13" fillId="0" borderId="11" xfId="0" applyNumberFormat="1" applyFont="1" applyBorder="1" applyAlignment="1">
      <alignment horizontal="right"/>
    </xf>
    <xf numFmtId="166" fontId="13" fillId="0" borderId="2" xfId="0" applyNumberFormat="1" applyFont="1" applyBorder="1" applyAlignment="1">
      <alignment horizontal="right"/>
    </xf>
    <xf numFmtId="0" fontId="28" fillId="0" borderId="0" xfId="5" applyFont="1"/>
    <xf numFmtId="0" fontId="14" fillId="0" borderId="2" xfId="0" applyFont="1" applyBorder="1" applyAlignment="1">
      <alignment horizontal="right" vertical="center"/>
    </xf>
    <xf numFmtId="0" fontId="14"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7" xfId="0" applyFont="1" applyBorder="1" applyAlignment="1">
      <alignment horizontal="right" vertical="center"/>
    </xf>
    <xf numFmtId="0" fontId="13" fillId="0" borderId="9" xfId="0" applyFont="1" applyBorder="1" applyAlignment="1">
      <alignment horizontal="right" vertical="center"/>
    </xf>
    <xf numFmtId="9" fontId="0" fillId="0" borderId="0" xfId="2" applyFont="1"/>
    <xf numFmtId="0" fontId="7" fillId="0" borderId="0" xfId="0" applyFont="1" applyAlignment="1">
      <alignment horizontal="left" vertical="center"/>
    </xf>
    <xf numFmtId="0" fontId="26" fillId="0" borderId="0" xfId="0" applyFont="1" applyAlignment="1">
      <alignment horizontal="left"/>
    </xf>
    <xf numFmtId="0" fontId="7" fillId="0" borderId="0" xfId="0" applyFont="1" applyAlignment="1">
      <alignment horizontal="left"/>
    </xf>
    <xf numFmtId="0" fontId="11" fillId="0" borderId="0" xfId="0" applyFont="1" applyAlignment="1">
      <alignment horizontal="left" vertical="center"/>
    </xf>
    <xf numFmtId="0" fontId="15" fillId="0" borderId="1" xfId="0" applyFont="1" applyBorder="1" applyAlignment="1">
      <alignment horizontal="right" vertical="center"/>
    </xf>
    <xf numFmtId="0" fontId="11" fillId="0" borderId="1" xfId="0" applyFont="1" applyBorder="1" applyAlignment="1">
      <alignment horizontal="right" vertical="center"/>
    </xf>
    <xf numFmtId="0" fontId="15" fillId="0" borderId="0" xfId="0" applyFont="1" applyAlignment="1">
      <alignment horizontal="right" vertical="center"/>
    </xf>
    <xf numFmtId="43" fontId="7" fillId="0" borderId="0" xfId="1" applyFont="1" applyAlignment="1">
      <alignment vertical="center"/>
    </xf>
    <xf numFmtId="43" fontId="11" fillId="0" borderId="0" xfId="1" applyFont="1"/>
    <xf numFmtId="0" fontId="27" fillId="2" borderId="0" xfId="1" applyNumberFormat="1" applyFont="1" applyFill="1"/>
    <xf numFmtId="0" fontId="15" fillId="0" borderId="0" xfId="1" applyNumberFormat="1" applyFont="1"/>
    <xf numFmtId="0" fontId="11" fillId="0" borderId="0" xfId="1" applyNumberFormat="1" applyFont="1"/>
    <xf numFmtId="0" fontId="11" fillId="9" borderId="7" xfId="0" applyFont="1" applyFill="1" applyBorder="1" applyAlignment="1">
      <alignment horizontal="right" vertical="center"/>
    </xf>
    <xf numFmtId="9" fontId="11" fillId="9" borderId="11" xfId="2" applyFont="1" applyFill="1" applyBorder="1" applyAlignment="1">
      <alignment horizontal="right" vertical="center"/>
    </xf>
    <xf numFmtId="0" fontId="11" fillId="9" borderId="2" xfId="0" applyFont="1" applyFill="1" applyBorder="1" applyAlignment="1">
      <alignment horizontal="right" vertical="center"/>
    </xf>
    <xf numFmtId="0" fontId="11" fillId="9" borderId="9" xfId="0" applyFont="1" applyFill="1" applyBorder="1" applyAlignment="1">
      <alignment horizontal="right" vertical="center"/>
    </xf>
    <xf numFmtId="0" fontId="11" fillId="9" borderId="10" xfId="0" applyFont="1" applyFill="1" applyBorder="1" applyAlignment="1">
      <alignment horizontal="right" vertical="center"/>
    </xf>
    <xf numFmtId="0" fontId="11" fillId="9" borderId="4" xfId="0" applyFont="1" applyFill="1" applyBorder="1" applyAlignment="1">
      <alignment horizontal="right" vertical="center"/>
    </xf>
    <xf numFmtId="0" fontId="15" fillId="0" borderId="1" xfId="0" applyFont="1" applyBorder="1" applyAlignment="1">
      <alignment horizontal="left" vertical="center"/>
    </xf>
    <xf numFmtId="0" fontId="11" fillId="0" borderId="1" xfId="0" applyFont="1" applyBorder="1" applyAlignment="1">
      <alignment horizontal="left" vertical="center"/>
    </xf>
    <xf numFmtId="0" fontId="13" fillId="9" borderId="9" xfId="0" applyFont="1" applyFill="1" applyBorder="1" applyAlignment="1">
      <alignment horizontal="right" vertical="center" wrapText="1"/>
    </xf>
    <xf numFmtId="3" fontId="13" fillId="9" borderId="7" xfId="0" applyNumberFormat="1" applyFont="1" applyFill="1" applyBorder="1" applyAlignment="1">
      <alignment horizontal="right" vertical="center"/>
    </xf>
    <xf numFmtId="0" fontId="13" fillId="9" borderId="10" xfId="0" applyFont="1" applyFill="1" applyBorder="1" applyAlignment="1">
      <alignment horizontal="right" vertical="center" wrapText="1"/>
    </xf>
    <xf numFmtId="3" fontId="13" fillId="9" borderId="11" xfId="0" applyNumberFormat="1" applyFont="1" applyFill="1" applyBorder="1" applyAlignment="1">
      <alignment horizontal="right" vertical="center"/>
    </xf>
    <xf numFmtId="0" fontId="13" fillId="9" borderId="11" xfId="0" applyFont="1" applyFill="1" applyBorder="1" applyAlignment="1">
      <alignment horizontal="right" vertical="center"/>
    </xf>
    <xf numFmtId="0" fontId="13" fillId="9" borderId="4" xfId="0" applyFont="1" applyFill="1" applyBorder="1" applyAlignment="1">
      <alignment horizontal="right" vertical="center" wrapText="1"/>
    </xf>
    <xf numFmtId="0" fontId="13" fillId="9" borderId="2" xfId="0" applyFont="1" applyFill="1" applyBorder="1" applyAlignment="1">
      <alignment horizontal="right" vertical="center"/>
    </xf>
    <xf numFmtId="0" fontId="14" fillId="9" borderId="4" xfId="0" applyFont="1" applyFill="1" applyBorder="1" applyAlignment="1">
      <alignment horizontal="center" vertical="center" wrapText="1"/>
    </xf>
    <xf numFmtId="166" fontId="13" fillId="9" borderId="6" xfId="0" applyNumberFormat="1" applyFont="1" applyFill="1" applyBorder="1"/>
    <xf numFmtId="166" fontId="13" fillId="9" borderId="9" xfId="0" applyNumberFormat="1" applyFont="1" applyFill="1" applyBorder="1"/>
    <xf numFmtId="0" fontId="24" fillId="9" borderId="5" xfId="4" applyFont="1" applyFill="1" applyBorder="1" applyAlignment="1">
      <alignment wrapText="1"/>
    </xf>
    <xf numFmtId="0" fontId="24" fillId="9" borderId="1" xfId="4" applyFont="1" applyFill="1" applyBorder="1" applyAlignment="1">
      <alignment horizontal="center"/>
    </xf>
    <xf numFmtId="0" fontId="24" fillId="9" borderId="7" xfId="4" applyFont="1" applyFill="1" applyBorder="1" applyAlignment="1">
      <alignment wrapText="1"/>
    </xf>
    <xf numFmtId="0" fontId="13" fillId="9" borderId="9" xfId="0" applyFont="1" applyFill="1" applyBorder="1" applyAlignment="1">
      <alignment horizontal="right" wrapText="1"/>
    </xf>
    <xf numFmtId="1" fontId="13" fillId="9" borderId="7" xfId="1" applyNumberFormat="1" applyFont="1" applyFill="1" applyBorder="1" applyAlignment="1">
      <alignment horizontal="right" vertical="center"/>
    </xf>
    <xf numFmtId="0" fontId="13" fillId="9" borderId="10" xfId="0" applyFont="1" applyFill="1" applyBorder="1" applyAlignment="1">
      <alignment horizontal="right" wrapText="1"/>
    </xf>
    <xf numFmtId="1" fontId="13" fillId="9" borderId="11" xfId="1" applyNumberFormat="1" applyFont="1" applyFill="1" applyBorder="1" applyAlignment="1">
      <alignment horizontal="right" vertical="center"/>
    </xf>
    <xf numFmtId="9" fontId="13" fillId="9" borderId="11" xfId="1" applyNumberFormat="1" applyFont="1" applyFill="1" applyBorder="1" applyAlignment="1">
      <alignment horizontal="right" vertical="center"/>
    </xf>
    <xf numFmtId="0" fontId="13" fillId="9" borderId="4" xfId="0" applyFont="1" applyFill="1" applyBorder="1" applyAlignment="1">
      <alignment horizontal="right" wrapText="1"/>
    </xf>
    <xf numFmtId="1" fontId="13" fillId="9" borderId="2" xfId="1" applyNumberFormat="1" applyFont="1" applyFill="1" applyBorder="1" applyAlignment="1">
      <alignment horizontal="right"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center"/>
    </xf>
    <xf numFmtId="0" fontId="11" fillId="10" borderId="9" xfId="0" applyFont="1" applyFill="1" applyBorder="1" applyAlignment="1">
      <alignment horizontal="right" vertical="center"/>
    </xf>
    <xf numFmtId="0" fontId="11" fillId="10" borderId="7" xfId="0" applyFont="1" applyFill="1" applyBorder="1" applyAlignment="1">
      <alignment horizontal="right" vertical="center"/>
    </xf>
    <xf numFmtId="0" fontId="11" fillId="10" borderId="4" xfId="0" applyFont="1" applyFill="1" applyBorder="1" applyAlignment="1">
      <alignment horizontal="right" vertical="center"/>
    </xf>
    <xf numFmtId="0" fontId="11" fillId="10" borderId="2" xfId="0" applyFont="1" applyFill="1" applyBorder="1" applyAlignment="1">
      <alignment horizontal="right" vertical="center"/>
    </xf>
    <xf numFmtId="0" fontId="13" fillId="10" borderId="9" xfId="0" applyFont="1" applyFill="1" applyBorder="1" applyAlignment="1">
      <alignment horizontal="right" vertical="center" wrapText="1"/>
    </xf>
    <xf numFmtId="0" fontId="13" fillId="10" borderId="7" xfId="0" applyFont="1" applyFill="1" applyBorder="1" applyAlignment="1">
      <alignment horizontal="right" vertical="center"/>
    </xf>
    <xf numFmtId="0" fontId="13" fillId="10" borderId="4" xfId="0" applyFont="1" applyFill="1" applyBorder="1" applyAlignment="1">
      <alignment horizontal="right" vertical="center" wrapText="1"/>
    </xf>
    <xf numFmtId="0" fontId="13" fillId="10" borderId="2" xfId="0" applyFont="1" applyFill="1" applyBorder="1" applyAlignment="1">
      <alignment horizontal="right" vertical="center"/>
    </xf>
    <xf numFmtId="0" fontId="5" fillId="0" borderId="0" xfId="0" applyFont="1" applyAlignment="1">
      <alignment vertical="center" wrapText="1"/>
    </xf>
    <xf numFmtId="0" fontId="11" fillId="10" borderId="10" xfId="0" applyFont="1" applyFill="1" applyBorder="1" applyAlignment="1">
      <alignment horizontal="right" vertical="center"/>
    </xf>
    <xf numFmtId="0" fontId="11" fillId="10" borderId="11" xfId="0" applyFont="1" applyFill="1" applyBorder="1" applyAlignment="1">
      <alignment horizontal="right" vertical="center"/>
    </xf>
    <xf numFmtId="0" fontId="29" fillId="11" borderId="0" xfId="0" applyFont="1" applyFill="1"/>
    <xf numFmtId="0" fontId="30" fillId="0" borderId="0" xfId="0" applyFont="1" applyAlignment="1">
      <alignment horizontal="left" vertical="center"/>
    </xf>
    <xf numFmtId="0" fontId="21" fillId="0" borderId="0" xfId="0" applyFont="1" applyAlignment="1">
      <alignment vertical="center" wrapText="1"/>
    </xf>
    <xf numFmtId="0" fontId="13" fillId="0" borderId="0" xfId="0" applyFont="1" applyAlignment="1">
      <alignment horizontal="right" vertical="center" wrapText="1"/>
    </xf>
    <xf numFmtId="165" fontId="0" fillId="0" borderId="0" xfId="0" applyNumberFormat="1"/>
    <xf numFmtId="0" fontId="32" fillId="0" borderId="0" xfId="0" applyFont="1" applyAlignment="1">
      <alignment wrapText="1"/>
    </xf>
    <xf numFmtId="168" fontId="0" fillId="0" borderId="0" xfId="0" applyNumberFormat="1"/>
    <xf numFmtId="10" fontId="24" fillId="0" borderId="8" xfId="2" applyNumberFormat="1" applyFont="1" applyFill="1" applyBorder="1" applyAlignment="1" applyProtection="1">
      <alignment horizontal="center" vertical="center" wrapText="1"/>
      <protection locked="0"/>
    </xf>
    <xf numFmtId="0" fontId="11" fillId="0" borderId="1" xfId="0" applyFont="1" applyBorder="1" applyAlignment="1">
      <alignment horizontal="left" vertical="top" wrapText="1"/>
    </xf>
    <xf numFmtId="0" fontId="33" fillId="0" borderId="0" xfId="0" applyFont="1"/>
    <xf numFmtId="0" fontId="0" fillId="0" borderId="14" xfId="0" applyBorder="1" applyAlignment="1">
      <alignment wrapText="1"/>
    </xf>
    <xf numFmtId="0" fontId="0" fillId="0" borderId="15" xfId="0" applyBorder="1" applyAlignment="1">
      <alignment wrapText="1"/>
    </xf>
    <xf numFmtId="0" fontId="33" fillId="0" borderId="13" xfId="0" applyFont="1" applyBorder="1" applyAlignment="1">
      <alignment wrapText="1"/>
    </xf>
    <xf numFmtId="0" fontId="0" fillId="0" borderId="13" xfId="0" applyBorder="1"/>
    <xf numFmtId="0" fontId="0" fillId="0" borderId="14" xfId="0" applyBorder="1"/>
    <xf numFmtId="0" fontId="13" fillId="0" borderId="1" xfId="1" applyNumberFormat="1" applyFont="1" applyBorder="1" applyAlignment="1" applyProtection="1">
      <alignment horizontal="center" vertical="center" wrapText="1"/>
      <protection locked="0"/>
    </xf>
    <xf numFmtId="0" fontId="31" fillId="4" borderId="1" xfId="1" applyNumberFormat="1" applyFont="1" applyFill="1" applyBorder="1" applyAlignment="1" applyProtection="1">
      <alignment horizontal="center" vertical="center" wrapText="1"/>
      <protection locked="0"/>
    </xf>
    <xf numFmtId="165" fontId="31" fillId="4" borderId="1" xfId="1" applyNumberFormat="1" applyFont="1" applyFill="1" applyBorder="1" applyAlignment="1" applyProtection="1">
      <alignment horizontal="center" vertical="center" wrapText="1"/>
      <protection locked="0"/>
    </xf>
    <xf numFmtId="2" fontId="24" fillId="0" borderId="1" xfId="1" applyNumberFormat="1" applyFont="1" applyBorder="1" applyAlignment="1" applyProtection="1">
      <alignment horizontal="center" vertical="center" wrapText="1"/>
      <protection locked="0"/>
    </xf>
    <xf numFmtId="0" fontId="34" fillId="0" borderId="0" xfId="0" applyFont="1" applyAlignment="1">
      <alignment vertical="center"/>
    </xf>
    <xf numFmtId="0" fontId="34" fillId="0" borderId="0" xfId="0" applyFont="1" applyAlignment="1">
      <alignment vertical="center" wrapText="1"/>
    </xf>
    <xf numFmtId="2" fontId="0" fillId="0" borderId="0" xfId="0" applyNumberFormat="1" applyAlignment="1">
      <alignment wrapText="1"/>
    </xf>
    <xf numFmtId="3" fontId="24" fillId="0" borderId="1" xfId="4" applyNumberFormat="1" applyFont="1" applyBorder="1" applyAlignment="1" applyProtection="1">
      <alignment horizontal="center" vertical="center" wrapText="1"/>
      <protection locked="0"/>
    </xf>
    <xf numFmtId="0" fontId="24" fillId="0" borderId="1" xfId="4" applyFont="1" applyBorder="1" applyAlignment="1" applyProtection="1">
      <alignment horizontal="center" vertical="center" wrapText="1"/>
      <protection locked="0"/>
    </xf>
    <xf numFmtId="9" fontId="24" fillId="0" borderId="1" xfId="0" applyNumberFormat="1" applyFont="1" applyBorder="1" applyAlignment="1" applyProtection="1">
      <alignment horizontal="center" vertical="center" wrapText="1"/>
      <protection locked="0"/>
    </xf>
    <xf numFmtId="3" fontId="24" fillId="0" borderId="5" xfId="4" applyNumberFormat="1" applyFont="1" applyBorder="1" applyAlignment="1" applyProtection="1">
      <alignment horizontal="center" vertical="center" wrapText="1"/>
      <protection locked="0"/>
    </xf>
    <xf numFmtId="166" fontId="14" fillId="0" borderId="11" xfId="0" applyNumberFormat="1" applyFont="1" applyBorder="1" applyAlignment="1">
      <alignment horizontal="right"/>
    </xf>
    <xf numFmtId="0" fontId="35" fillId="0" borderId="0" xfId="5" applyFont="1"/>
    <xf numFmtId="0" fontId="9" fillId="3" borderId="0" xfId="0" applyFont="1" applyFill="1" applyAlignment="1">
      <alignment vertical="center"/>
    </xf>
    <xf numFmtId="0" fontId="29" fillId="11" borderId="0" xfId="0" applyFont="1" applyFill="1" applyAlignment="1">
      <alignment vertical="center"/>
    </xf>
    <xf numFmtId="0" fontId="33" fillId="0" borderId="0" xfId="0" applyFont="1" applyAlignment="1">
      <alignment vertical="center" wrapText="1"/>
    </xf>
    <xf numFmtId="0" fontId="33" fillId="0" borderId="0" xfId="0" applyFont="1" applyAlignment="1">
      <alignment vertical="center"/>
    </xf>
    <xf numFmtId="0" fontId="33" fillId="0" borderId="0" xfId="0" applyFont="1" applyAlignment="1">
      <alignment horizontal="right" vertical="center" wrapText="1"/>
    </xf>
    <xf numFmtId="0" fontId="13" fillId="0" borderId="0" xfId="0" applyFont="1" applyAlignment="1">
      <alignment horizontal="left" vertical="center" indent="1"/>
    </xf>
    <xf numFmtId="0" fontId="25" fillId="0" borderId="0" xfId="0" applyFont="1" applyAlignment="1">
      <alignment horizontal="left" indent="1"/>
    </xf>
    <xf numFmtId="0" fontId="13" fillId="0" borderId="0" xfId="0" applyFont="1" applyAlignment="1">
      <alignment horizontal="left" indent="1"/>
    </xf>
    <xf numFmtId="0" fontId="0" fillId="0" borderId="0" xfId="0" applyFont="1" applyAlignment="1">
      <alignment horizontal="right" vertical="center"/>
    </xf>
    <xf numFmtId="2" fontId="24" fillId="0" borderId="1" xfId="1" applyNumberFormat="1" applyFont="1" applyFill="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13" fillId="0" borderId="6" xfId="0" applyFont="1" applyBorder="1" applyAlignment="1">
      <alignment horizontal="left" vertical="center" wrapText="1"/>
    </xf>
  </cellXfs>
  <cellStyles count="6">
    <cellStyle name="Comma" xfId="1" builtinId="3"/>
    <cellStyle name="Comma 2" xfId="3" xr:uid="{635CBEC1-B31B-40A1-A0B1-EF63102257E2}"/>
    <cellStyle name="Hyperlink" xfId="5" builtinId="8"/>
    <cellStyle name="Normal" xfId="0" builtinId="0"/>
    <cellStyle name="Normal 2" xfId="4" xr:uid="{9C98A8C9-E231-48A0-BA1E-63031E755EC1}"/>
    <cellStyle name="Percent" xfId="2" builtinId="5"/>
  </cellStyles>
  <dxfs count="88">
    <dxf>
      <numFmt numFmtId="166" formatCode="&quot;$&quot;#,##0.00"/>
    </dxf>
    <dxf>
      <numFmt numFmtId="2" formatCode="0.00"/>
    </dxf>
    <dxf>
      <numFmt numFmtId="13" formatCode="0%"/>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alignment horizontal="right" vertical="center" textRotation="0" wrapText="0" indent="0" justifyLastLine="0" shrinkToFit="0" readingOrder="0"/>
    </dxf>
    <dxf>
      <border>
        <bottom style="thin">
          <color indexed="64"/>
        </bottom>
      </border>
    </dxf>
    <dxf>
      <font>
        <b/>
        <strike val="0"/>
        <outline val="0"/>
        <shadow val="0"/>
        <vertAlign val="baseline"/>
        <sz val="9"/>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theme="1"/>
        <name val="Arial"/>
        <family val="2"/>
        <scheme val="none"/>
      </font>
      <numFmt numFmtId="166" formatCode="&quot;$&quot;#,##0.00"/>
      <fill>
        <patternFill patternType="solid">
          <fgColor indexed="64"/>
          <bgColor theme="0" tint="-0.14999847407452621"/>
        </patternFill>
      </fill>
      <border diagonalUp="0" diagonalDown="0" outline="0">
        <left style="thin">
          <color indexed="64"/>
        </left>
        <right/>
        <top style="thin">
          <color indexed="64"/>
        </top>
        <bottom style="thin">
          <color indexed="64"/>
        </bottom>
      </border>
    </dxf>
    <dxf>
      <font>
        <strike val="0"/>
        <outline val="0"/>
        <shadow val="0"/>
        <u val="none"/>
        <vertAlign val="baseline"/>
        <sz val="9"/>
        <name val="Arial"/>
        <family val="2"/>
        <scheme val="none"/>
      </font>
      <numFmt numFmtId="166" formatCode="&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dxf>
    <dxf>
      <border>
        <bottom style="thin">
          <color indexed="64"/>
        </bottom>
      </border>
    </dxf>
    <dxf>
      <font>
        <b/>
        <strike val="0"/>
        <outline val="0"/>
        <shadow val="0"/>
        <u val="none"/>
        <vertAlign val="baseline"/>
        <sz val="9"/>
        <color theme="1"/>
        <name val="Arial"/>
        <family val="2"/>
        <scheme val="none"/>
      </font>
      <alignment vertical="center" textRotation="0"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horizontal/>
      </border>
    </dxf>
    <dxf>
      <font>
        <b/>
        <i val="0"/>
      </font>
    </dxf>
    <dxf>
      <font>
        <b/>
        <i val="0"/>
      </font>
    </dxf>
    <dxf>
      <font>
        <b/>
        <i val="0"/>
      </font>
      <border>
        <left/>
        <right/>
        <top/>
        <bottom/>
      </border>
    </dxf>
    <dxf>
      <font>
        <b/>
        <i val="0"/>
      </font>
      <border>
        <left/>
        <right/>
        <top/>
        <bottom/>
      </border>
    </dxf>
    <dxf>
      <border>
        <left style="thin">
          <color auto="1"/>
        </left>
        <right style="thin">
          <color auto="1"/>
        </right>
        <top style="thin">
          <color auto="1"/>
        </top>
        <bottom style="thin">
          <color auto="1"/>
        </bottom>
        <vertical/>
        <horizontal/>
      </border>
    </dxf>
    <dxf>
      <font>
        <b/>
        <i val="0"/>
      </font>
    </dxf>
    <dxf>
      <font>
        <b/>
        <i val="0"/>
      </font>
      <border>
        <left/>
        <right/>
        <top/>
        <bottom/>
      </border>
    </dxf>
    <dxf>
      <font>
        <b/>
        <i val="0"/>
      </font>
      <border>
        <left/>
        <right/>
        <top/>
        <bottom/>
      </border>
    </dxf>
    <dxf>
      <font>
        <b/>
        <i val="0"/>
      </font>
    </dxf>
    <dxf>
      <border>
        <left style="thin">
          <color auto="1"/>
        </left>
        <right style="thin">
          <color auto="1"/>
        </right>
        <top style="thin">
          <color auto="1"/>
        </top>
        <bottom style="thin">
          <color auto="1"/>
        </bottom>
        <vertical/>
        <horizontal/>
      </border>
    </dxf>
    <dxf>
      <font>
        <color rgb="FFCCDC00"/>
      </font>
      <fill>
        <patternFill>
          <bgColor rgb="FF005172"/>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border>
        <left/>
        <right/>
        <top/>
        <bottom/>
        <vertical/>
        <horizontal/>
      </border>
    </dxf>
    <dxf>
      <font>
        <b/>
        <i val="0"/>
      </font>
      <border>
        <left/>
        <right/>
        <top/>
        <bottom/>
        <vertical/>
        <horizontal/>
      </border>
    </dxf>
    <dxf>
      <font>
        <b/>
        <i val="0"/>
      </font>
      <border>
        <left/>
        <right/>
        <top/>
        <bottom/>
        <vertical/>
        <horizontal/>
      </border>
    </dxf>
    <dxf>
      <font>
        <b/>
        <i val="0"/>
      </font>
    </dxf>
    <dxf>
      <font>
        <b/>
        <i val="0"/>
      </font>
      <border>
        <left/>
        <right/>
        <top/>
        <bottom/>
        <vertical/>
        <horizontal/>
      </border>
    </dxf>
    <dxf>
      <font>
        <b/>
        <i val="0"/>
      </font>
      <border>
        <left/>
        <right/>
        <top/>
        <bottom/>
        <vertical/>
        <horizontal/>
      </border>
    </dxf>
    <dxf>
      <font>
        <b/>
        <i val="0"/>
      </font>
      <border>
        <left/>
        <right/>
        <top/>
        <bottom/>
        <vertical/>
        <horizontal/>
      </border>
    </dxf>
    <dxf>
      <font>
        <b/>
        <i val="0"/>
      </font>
    </dxf>
    <dxf>
      <font>
        <b/>
        <i val="0"/>
      </font>
    </dxf>
    <dxf>
      <font>
        <b/>
        <i val="0"/>
      </font>
    </dxf>
    <dxf>
      <font>
        <b val="0"/>
        <i val="0"/>
      </font>
      <border>
        <left style="thin">
          <color auto="1"/>
        </left>
        <right style="thin">
          <color auto="1"/>
        </right>
        <top style="thin">
          <color auto="1"/>
        </top>
        <bottom style="thin">
          <color auto="1"/>
        </bottom>
      </border>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name val="Arial"/>
        <family val="2"/>
        <scheme val="none"/>
      </font>
      <numFmt numFmtId="0" formatCode="Genera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outline val="0"/>
        <shadow val="0"/>
        <u val="none"/>
        <vertAlign val="baseline"/>
        <sz val="9"/>
        <color auto="1"/>
        <name val="Arial"/>
        <family val="2"/>
        <scheme val="none"/>
      </font>
      <numFmt numFmtId="2"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0" tint="-0.249977111117893"/>
        <name val="Arial"/>
        <family val="2"/>
        <scheme val="none"/>
      </font>
      <numFmt numFmtId="165" formatCode="&quot;$&quot;#,##0"/>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textRotation="0" wrapText="1" indent="0" justifyLastLine="0" shrinkToFit="0" readingOrder="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color theme="0"/>
      </font>
      <fill>
        <patternFill>
          <bgColor rgb="FFC00000"/>
        </patternFill>
      </fill>
    </dxf>
    <dxf>
      <font>
        <color theme="0" tint="-0.24994659260841701"/>
      </font>
      <fill>
        <patternFill patternType="solid">
          <bgColor theme="0" tint="-0.24994659260841701"/>
        </patternFill>
      </fill>
    </dxf>
    <dxf>
      <font>
        <color theme="1"/>
      </font>
      <fill>
        <patternFill patternType="none">
          <bgColor auto="1"/>
        </patternFill>
      </fill>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alignment horizontal="center" vertical="center" textRotation="0" indent="0" justifyLastLine="0" shrinkToFit="0" readingOrder="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ill>
        <patternFill>
          <bgColor theme="0"/>
        </patternFill>
      </fill>
    </dxf>
  </dxfs>
  <tableStyles count="0" defaultTableStyle="TableStyleMedium2" defaultPivotStyle="PivotStyleLight16"/>
  <colors>
    <mruColors>
      <color rgb="FFFF5050"/>
      <color rgb="FFFFFFFF"/>
      <color rgb="FFCCDC00"/>
      <color rgb="FFF4EE00"/>
      <color rgb="FF0051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mailto:CORE-CCR@tbs-sct.gc.ca" TargetMode="External"/><Relationship Id="rId2" Type="http://schemas.openxmlformats.org/officeDocument/2006/relationships/hyperlink" Target="https://web-archive.oecd.org/2012-06-15/153963-34227698.pdf" TargetMode="External"/><Relationship Id="rId1" Type="http://schemas.openxmlformats.org/officeDocument/2006/relationships/image" Target="../media/image1.jpeg"/><Relationship Id="rId6" Type="http://schemas.openxmlformats.org/officeDocument/2006/relationships/hyperlink" Target="#InitiativeDetailsLanding"/><Relationship Id="rId5" Type="http://schemas.openxmlformats.org/officeDocument/2006/relationships/hyperlink" Target="https://www.canada.ca/en/government/system/laws/developing-improving-federal-regulations/requirements-developing-managing-reviewing-regulations/guidelines-tools/policy-limiting-regulatory-burden-business.html" TargetMode="External"/><Relationship Id="rId4" Type="http://schemas.openxmlformats.org/officeDocument/2006/relationships/hyperlink" Target="https://view.officeapps.live.com/op/view.aspx?src=https%3A%2F%2Fwiki.gccollab.ca%2Fimages%2Fc%2Fc8%2FGuide_on_Limiting_Regulatory_Burden_on_Business_EN_%2528Latest%2529.docx&amp;wdOrigin=BROWSELINK"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StakeholderProfileLanding"/></Relationships>
</file>

<file path=xl/drawings/_rels/drawing3.xml.rels><?xml version="1.0" encoding="UTF-8" standalone="yes"?>
<Relationships xmlns="http://schemas.openxmlformats.org/package/2006/relationships"><Relationship Id="rId3" Type="http://schemas.openxmlformats.org/officeDocument/2006/relationships/hyperlink" Target="#AnnualStakeholderCounts"/><Relationship Id="rId2" Type="http://schemas.openxmlformats.org/officeDocument/2006/relationships/hyperlink" Target="#ActivityLanding"/><Relationship Id="rId1" Type="http://schemas.openxmlformats.org/officeDocument/2006/relationships/hyperlink" Target="#InitiativeDetailsLanding"/></Relationships>
</file>

<file path=xl/drawings/_rels/drawing4.xml.rels><?xml version="1.0" encoding="UTF-8" standalone="yes"?>
<Relationships xmlns="http://schemas.openxmlformats.org/package/2006/relationships"><Relationship Id="rId3" Type="http://schemas.openxmlformats.org/officeDocument/2006/relationships/hyperlink" Target="#SBLLanding"/><Relationship Id="rId7" Type="http://schemas.openxmlformats.org/officeDocument/2006/relationships/hyperlink" Target="#Custom_Labour"/><Relationship Id="rId2" Type="http://schemas.openxmlformats.org/officeDocument/2006/relationships/hyperlink" Target="#OneForOneLanding"/><Relationship Id="rId1" Type="http://schemas.openxmlformats.org/officeDocument/2006/relationships/hyperlink" Target="#StakeholderProfileLanding"/><Relationship Id="rId6" Type="http://schemas.openxmlformats.org/officeDocument/2006/relationships/hyperlink" Target="#ImpactsByStakeholderLanding"/><Relationship Id="rId5" Type="http://schemas.openxmlformats.org/officeDocument/2006/relationships/hyperlink" Target="#ImpactsByActivityLanding"/><Relationship Id="rId4" Type="http://schemas.openxmlformats.org/officeDocument/2006/relationships/hyperlink" Target="#NetImpactsLanding"/></Relationships>
</file>

<file path=xl/drawings/_rels/drawing5.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6.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7.xml.rels><?xml version="1.0" encoding="UTF-8" standalone="yes"?>
<Relationships xmlns="http://schemas.openxmlformats.org/package/2006/relationships"><Relationship Id="rId1" Type="http://schemas.openxmlformats.org/officeDocument/2006/relationships/hyperlink" Target="#StakeholderProfileLanding"/></Relationships>
</file>

<file path=xl/drawings/_rels/drawing8.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9.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10.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11.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13.xml.rels><?xml version="1.0" encoding="UTF-8" standalone="yes"?>
<Relationships xmlns="http://schemas.openxmlformats.org/package/2006/relationships"><Relationship Id="rId1" Type="http://schemas.openxmlformats.org/officeDocument/2006/relationships/hyperlink" Target="#FormulasLanding"/></Relationships>
</file>

<file path=xl/drawings/_rels/drawing14.xml.rels><?xml version="1.0" encoding="UTF-8" standalone="yes"?>
<Relationships xmlns="http://schemas.openxmlformats.org/package/2006/relationships"><Relationship Id="rId1" Type="http://schemas.openxmlformats.org/officeDocument/2006/relationships/hyperlink" Target="#FullOutputLanding"/></Relationships>
</file>

<file path=xl/drawings/drawing1.xml><?xml version="1.0" encoding="utf-8"?>
<xdr:wsDr xmlns:xdr="http://schemas.openxmlformats.org/drawingml/2006/spreadsheetDrawing" xmlns:a="http://schemas.openxmlformats.org/drawingml/2006/main">
  <xdr:twoCellAnchor editAs="absolute">
    <xdr:from>
      <xdr:col>0</xdr:col>
      <xdr:colOff>39170</xdr:colOff>
      <xdr:row>0</xdr:row>
      <xdr:rowOff>39843</xdr:rowOff>
    </xdr:from>
    <xdr:to>
      <xdr:col>3</xdr:col>
      <xdr:colOff>828638</xdr:colOff>
      <xdr:row>15</xdr:row>
      <xdr:rowOff>126323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70" y="39843"/>
          <a:ext cx="3392968" cy="2785230"/>
        </a:xfrm>
        <a:prstGeom prst="rect">
          <a:avLst/>
        </a:prstGeom>
        <a:ln w="38100">
          <a:solidFill>
            <a:schemeClr val="tx1"/>
          </a:solidFill>
        </a:ln>
      </xdr:spPr>
    </xdr:pic>
    <xdr:clientData/>
  </xdr:twoCellAnchor>
  <xdr:twoCellAnchor editAs="absolute">
    <xdr:from>
      <xdr:col>3</xdr:col>
      <xdr:colOff>828832</xdr:colOff>
      <xdr:row>0</xdr:row>
      <xdr:rowOff>24086</xdr:rowOff>
    </xdr:from>
    <xdr:to>
      <xdr:col>13</xdr:col>
      <xdr:colOff>253768</xdr:colOff>
      <xdr:row>15</xdr:row>
      <xdr:rowOff>104851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419632" y="24086"/>
          <a:ext cx="7332803" cy="2874765"/>
        </a:xfrm>
        <a:prstGeom prst="rect">
          <a:avLst/>
        </a:prstGeom>
        <a:solidFill>
          <a:schemeClr val="lt1"/>
        </a:solidFill>
        <a:ln w="381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i="0" u="none" strike="noStrike">
              <a:solidFill>
                <a:schemeClr val="dk1"/>
              </a:solidFill>
              <a:effectLst/>
              <a:latin typeface="+mn-lt"/>
              <a:ea typeface="+mn-ea"/>
              <a:cs typeface="+mn-cs"/>
            </a:rPr>
            <a:t>Model info:</a:t>
          </a:r>
          <a:endParaRPr lang="en-CA" sz="1200" b="0" i="0" u="none" strike="noStrike">
            <a:solidFill>
              <a:schemeClr val="dk1"/>
            </a:solidFill>
            <a:effectLst/>
            <a:latin typeface="+mn-lt"/>
            <a:ea typeface="+mn-ea"/>
            <a:cs typeface="+mn-cs"/>
          </a:endParaRPr>
        </a:p>
        <a:p>
          <a:endParaRPr lang="en-CA" sz="1200"/>
        </a:p>
        <a:p>
          <a:r>
            <a:rPr lang="en-CA" sz="1200" b="1" i="0" u="none" strike="noStrike">
              <a:solidFill>
                <a:schemeClr val="dk1"/>
              </a:solidFill>
              <a:effectLst/>
              <a:latin typeface="+mn-lt"/>
              <a:ea typeface="+mn-ea"/>
              <a:cs typeface="+mn-cs"/>
            </a:rPr>
            <a:t>Version: </a:t>
          </a:r>
          <a:r>
            <a:rPr lang="en-CA" sz="1200" b="0" i="0" u="none" strike="noStrike">
              <a:solidFill>
                <a:schemeClr val="dk1"/>
              </a:solidFill>
              <a:effectLst/>
              <a:latin typeface="+mn-lt"/>
              <a:ea typeface="+mn-ea"/>
              <a:cs typeface="+mn-cs"/>
            </a:rPr>
            <a:t>4.01</a:t>
          </a:r>
          <a:endParaRPr lang="en-CA" sz="1200"/>
        </a:p>
        <a:p>
          <a:endParaRPr lang="en-CA" sz="1200"/>
        </a:p>
        <a:p>
          <a:r>
            <a:rPr lang="en-CA" sz="1200" b="1" i="0" u="none" strike="noStrike">
              <a:solidFill>
                <a:schemeClr val="dk1"/>
              </a:solidFill>
              <a:effectLst/>
              <a:latin typeface="+mn-lt"/>
              <a:ea typeface="+mn-ea"/>
              <a:cs typeface="+mn-cs"/>
            </a:rPr>
            <a:t>Version date (dd/mm/yyyy):</a:t>
          </a:r>
          <a:r>
            <a:rPr lang="en-CA" sz="1200"/>
            <a:t> </a:t>
          </a:r>
          <a:r>
            <a:rPr lang="en-CA" sz="1200" b="0" i="0" u="none" strike="noStrike">
              <a:solidFill>
                <a:schemeClr val="dk1"/>
              </a:solidFill>
              <a:effectLst/>
              <a:latin typeface="+mn-lt"/>
              <a:ea typeface="+mn-ea"/>
              <a:cs typeface="+mn-cs"/>
            </a:rPr>
            <a:t>06/08/2024</a:t>
          </a:r>
        </a:p>
        <a:p>
          <a:endParaRPr lang="en-CA" sz="1200" b="0" i="0" u="none" strike="noStrike">
            <a:solidFill>
              <a:schemeClr val="dk1"/>
            </a:solidFill>
            <a:effectLst/>
            <a:latin typeface="+mn-lt"/>
            <a:ea typeface="+mn-ea"/>
            <a:cs typeface="+mn-cs"/>
          </a:endParaRPr>
        </a:p>
        <a:p>
          <a:r>
            <a:rPr lang="en-CA" sz="1200" b="1" i="0" u="none" strike="noStrike">
              <a:solidFill>
                <a:schemeClr val="dk1"/>
              </a:solidFill>
              <a:effectLst/>
              <a:latin typeface="+mn-lt"/>
              <a:ea typeface="+mn-ea"/>
              <a:cs typeface="+mn-cs"/>
            </a:rPr>
            <a:t>Objective:</a:t>
          </a:r>
          <a:r>
            <a:rPr lang="en-CA" sz="1200"/>
            <a:t> </a:t>
          </a:r>
          <a:r>
            <a:rPr lang="en-CA" sz="1200" b="0" i="0" u="none" strike="noStrike">
              <a:solidFill>
                <a:schemeClr val="dk1"/>
              </a:solidFill>
              <a:effectLst/>
              <a:latin typeface="+mn-lt"/>
              <a:ea typeface="+mn-ea"/>
              <a:cs typeface="+mn-cs"/>
            </a:rPr>
            <a:t>Quantify and monetize:</a:t>
          </a:r>
          <a:r>
            <a:rPr lang="en-CA" sz="1200"/>
            <a:t> </a:t>
          </a:r>
          <a:r>
            <a:rPr lang="en-CA" sz="1200" b="0" i="0" u="none" strike="noStrike">
              <a:solidFill>
                <a:schemeClr val="dk1"/>
              </a:solidFill>
              <a:effectLst/>
              <a:latin typeface="+mn-lt"/>
              <a:ea typeface="+mn-ea"/>
              <a:cs typeface="+mn-cs"/>
            </a:rPr>
            <a:t>(1) the direct administrative costs associated with INs and OUTs under the one-for-one rule, and</a:t>
          </a:r>
          <a:r>
            <a:rPr lang="en-CA" sz="1200"/>
            <a:t> </a:t>
          </a:r>
          <a:r>
            <a:rPr lang="en-CA" sz="1200" b="0" i="0" u="none" strike="noStrike">
              <a:solidFill>
                <a:schemeClr val="dk1"/>
              </a:solidFill>
              <a:effectLst/>
              <a:latin typeface="+mn-lt"/>
              <a:ea typeface="+mn-ea"/>
              <a:cs typeface="+mn-cs"/>
            </a:rPr>
            <a:t>(2) the direct compliance and administrative costs associated with flexible options for the small business lens.</a:t>
          </a:r>
          <a:r>
            <a:rPr lang="en-CA" sz="1200"/>
            <a:t> </a:t>
          </a:r>
          <a:r>
            <a:rPr lang="en-CA" sz="1200" b="0" i="0" u="none" strike="noStrike">
              <a:solidFill>
                <a:schemeClr val="dk1"/>
              </a:solidFill>
              <a:effectLst/>
              <a:latin typeface="+mn-lt"/>
              <a:ea typeface="+mn-ea"/>
              <a:cs typeface="+mn-cs"/>
            </a:rPr>
            <a:t> </a:t>
          </a:r>
          <a:r>
            <a:rPr lang="en-CA" sz="1200"/>
            <a:t> </a:t>
          </a:r>
        </a:p>
        <a:p>
          <a:endParaRPr lang="en-CA" sz="12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200" b="1" i="0" u="none" strike="noStrike">
              <a:solidFill>
                <a:schemeClr val="dk1"/>
              </a:solidFill>
              <a:effectLst/>
              <a:latin typeface="+mn-lt"/>
              <a:ea typeface="+mn-ea"/>
              <a:cs typeface="+mn-cs"/>
            </a:rPr>
            <a:t>Methodology: </a:t>
          </a:r>
          <a:r>
            <a:rPr lang="en-CA" sz="1400" b="0" i="0" u="sng">
              <a:solidFill>
                <a:schemeClr val="accent1"/>
              </a:solidFill>
              <a:effectLst/>
              <a:latin typeface="+mn-lt"/>
              <a:ea typeface="+mn-ea"/>
              <a:cs typeface="+mn-cs"/>
            </a:rPr>
            <a:t>Standard Cost Model  </a:t>
          </a:r>
          <a:r>
            <a:rPr lang="en-CA" sz="1600">
              <a:solidFill>
                <a:schemeClr val="accent1"/>
              </a:solidFill>
            </a:rPr>
            <a:t> </a:t>
          </a:r>
        </a:p>
        <a:p>
          <a:endParaRPr lang="en-CA" sz="1200" b="1" i="0" u="none" strike="noStrike">
            <a:ln w="57150">
              <a:solidFill>
                <a:schemeClr val="tx1"/>
              </a:solidFill>
            </a:ln>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200" b="1" i="0" u="none" strike="noStrike">
              <a:solidFill>
                <a:schemeClr val="dk1"/>
              </a:solidFill>
              <a:effectLst/>
              <a:latin typeface="+mn-lt"/>
              <a:ea typeface="+mn-ea"/>
              <a:cs typeface="+mn-cs"/>
            </a:rPr>
            <a:t>For support, contact:</a:t>
          </a:r>
          <a:r>
            <a:rPr lang="en-CA" sz="1200"/>
            <a:t> </a:t>
          </a:r>
          <a:r>
            <a:rPr lang="en-CA" sz="1400" b="0" i="0" u="sng">
              <a:solidFill>
                <a:schemeClr val="accent1"/>
              </a:solidFill>
              <a:effectLst/>
              <a:latin typeface="+mn-lt"/>
              <a:ea typeface="+mn-ea"/>
              <a:cs typeface="+mn-cs"/>
            </a:rPr>
            <a:t>CORE-CCR@tbs-sct.gc.ca</a:t>
          </a:r>
          <a:r>
            <a:rPr lang="en-CA" sz="1400">
              <a:solidFill>
                <a:schemeClr val="accent1"/>
              </a:solidFill>
              <a:effectLst/>
              <a:latin typeface="+mn-lt"/>
              <a:ea typeface="+mn-ea"/>
              <a:cs typeface="+mn-cs"/>
            </a:rPr>
            <a:t> </a:t>
          </a:r>
          <a:endParaRPr lang="en-CA" sz="1600">
            <a:solidFill>
              <a:schemeClr val="accent1"/>
            </a:solidFill>
            <a:effectLst/>
          </a:endParaRPr>
        </a:p>
        <a:p>
          <a:endParaRPr lang="en-CA" sz="1200"/>
        </a:p>
      </xdr:txBody>
    </xdr:sp>
    <xdr:clientData/>
  </xdr:twoCellAnchor>
  <xdr:twoCellAnchor editAs="absolute">
    <xdr:from>
      <xdr:col>0</xdr:col>
      <xdr:colOff>26545</xdr:colOff>
      <xdr:row>15</xdr:row>
      <xdr:rowOff>106471</xdr:rowOff>
    </xdr:from>
    <xdr:to>
      <xdr:col>13</xdr:col>
      <xdr:colOff>257426</xdr:colOff>
      <xdr:row>34</xdr:row>
      <xdr:rowOff>47625</xdr:rowOff>
    </xdr:to>
    <xdr:sp macro="" textlink="" fLocksText="0">
      <xdr:nvSpPr>
        <xdr:cNvPr id="5" name="TextBox 4">
          <a:extLst>
            <a:ext uri="{FF2B5EF4-FFF2-40B4-BE49-F238E27FC236}">
              <a16:creationId xmlns:a16="http://schemas.microsoft.com/office/drawing/2014/main" id="{00000000-0008-0000-0000-000005000000}"/>
            </a:ext>
          </a:extLst>
        </xdr:cNvPr>
        <xdr:cNvSpPr txBox="1"/>
      </xdr:nvSpPr>
      <xdr:spPr>
        <a:xfrm>
          <a:off x="26545" y="2725846"/>
          <a:ext cx="11264006" cy="3259029"/>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lang="en-CA" sz="1100" b="1" i="0" u="none" strike="noStrike">
              <a:solidFill>
                <a:schemeClr val="dk1"/>
              </a:solidFill>
              <a:effectLst/>
              <a:latin typeface="+mn-lt"/>
              <a:ea typeface="+mn-ea"/>
              <a:cs typeface="+mn-cs"/>
            </a:rPr>
            <a:t>Guidance:</a:t>
          </a:r>
          <a:r>
            <a:rPr lang="en-CA"/>
            <a:t> </a:t>
          </a:r>
          <a:r>
            <a:rPr lang="en-CA" sz="1100" b="0"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p>
        <a:p>
          <a:pPr algn="l"/>
          <a:endParaRPr lang="en-CA" sz="1100" b="0" i="0" u="none" strike="noStrike">
            <a:solidFill>
              <a:schemeClr val="dk1"/>
            </a:solidFill>
            <a:effectLst/>
            <a:latin typeface="+mn-lt"/>
            <a:ea typeface="+mn-ea"/>
            <a:cs typeface="+mn-cs"/>
          </a:endParaRPr>
        </a:p>
        <a:p>
          <a:pPr algn="l"/>
          <a:endParaRPr lang="en-CA" sz="1100" b="0" i="0" u="none" strike="noStrike">
            <a:solidFill>
              <a:schemeClr val="dk1"/>
            </a:solidFill>
            <a:effectLst/>
            <a:latin typeface="+mn-lt"/>
            <a:ea typeface="+mn-ea"/>
            <a:cs typeface="+mn-cs"/>
          </a:endParaRPr>
        </a:p>
        <a:p>
          <a:pPr algn="l"/>
          <a:endParaRPr lang="en-CA" sz="1100" b="0" i="0" u="none" strike="noStrike">
            <a:solidFill>
              <a:schemeClr val="dk1"/>
            </a:solidFill>
            <a:effectLst/>
            <a:latin typeface="+mn-lt"/>
            <a:ea typeface="+mn-ea"/>
            <a:cs typeface="+mn-cs"/>
          </a:endParaRPr>
        </a:p>
        <a:p>
          <a:pPr algn="l"/>
          <a:r>
            <a:rPr lang="en-CA"/>
            <a:t> </a:t>
          </a:r>
          <a:r>
            <a:rPr lang="en-CA" sz="1100" b="1" i="0" u="none" strike="noStrike">
              <a:solidFill>
                <a:schemeClr val="dk1"/>
              </a:solidFill>
              <a:effectLst/>
              <a:latin typeface="+mn-lt"/>
              <a:ea typeface="+mn-ea"/>
              <a:cs typeface="+mn-cs"/>
            </a:rPr>
            <a:t>Tab colour legend:</a:t>
          </a:r>
          <a:r>
            <a:rPr lang="en-CA"/>
            <a:t> </a:t>
          </a:r>
          <a:r>
            <a:rPr lang="en-CA" sz="1100" b="1"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r>
            <a:rPr lang="en-CA"/>
            <a:t> </a:t>
          </a:r>
        </a:p>
        <a:p>
          <a:pPr algn="l"/>
          <a:r>
            <a:rPr lang="en-CA" sz="1100" b="0" i="0" u="none" strike="noStrike" baseline="0">
              <a:solidFill>
                <a:schemeClr val="dk1"/>
              </a:solidFill>
              <a:effectLst/>
              <a:latin typeface="+mn-lt"/>
              <a:ea typeface="+mn-ea"/>
              <a:cs typeface="+mn-cs"/>
            </a:rPr>
            <a:t>       </a:t>
          </a:r>
          <a:r>
            <a:rPr lang="en-CA" sz="1100" b="0" i="0" u="none" strike="noStrike">
              <a:solidFill>
                <a:schemeClr val="dk1"/>
              </a:solidFill>
              <a:effectLst/>
              <a:latin typeface="+mn-lt"/>
              <a:ea typeface="+mn-ea"/>
              <a:cs typeface="+mn-cs"/>
            </a:rPr>
            <a:t>: User input required (white cells only)</a:t>
          </a:r>
          <a:r>
            <a:rPr lang="en-CA"/>
            <a:t> </a:t>
          </a:r>
          <a:r>
            <a:rPr lang="en-CA" sz="1100" b="0" i="0" u="none" strike="noStrike">
              <a:solidFill>
                <a:schemeClr val="dk1"/>
              </a:solidFill>
              <a:effectLst/>
              <a:latin typeface="+mn-lt"/>
              <a:ea typeface="+mn-ea"/>
              <a:cs typeface="+mn-cs"/>
            </a:rPr>
            <a:t> </a:t>
          </a:r>
          <a:r>
            <a:rPr lang="en-CA"/>
            <a:t> </a:t>
          </a:r>
          <a:r>
            <a:rPr lang="en-CA" sz="1100" b="1" i="0" u="none" strike="noStrike">
              <a:solidFill>
                <a:schemeClr val="dk1"/>
              </a:solidFill>
              <a:effectLst/>
              <a:latin typeface="+mn-lt"/>
              <a:ea typeface="+mn-ea"/>
              <a:cs typeface="+mn-cs"/>
            </a:rPr>
            <a:t> </a:t>
          </a:r>
          <a:r>
            <a:rPr lang="en-CA"/>
            <a:t> </a:t>
          </a:r>
        </a:p>
        <a:p>
          <a:pPr algn="l"/>
          <a:r>
            <a:rPr lang="en-CA" sz="1100" b="0" i="0" u="none" strike="noStrike" baseline="0">
              <a:solidFill>
                <a:schemeClr val="dk1"/>
              </a:solidFill>
              <a:effectLst/>
              <a:latin typeface="+mn-lt"/>
              <a:ea typeface="+mn-ea"/>
              <a:cs typeface="+mn-cs"/>
            </a:rPr>
            <a:t>       </a:t>
          </a:r>
          <a:r>
            <a:rPr lang="en-CA" sz="1100" b="0" i="0" u="none" strike="noStrike">
              <a:solidFill>
                <a:schemeClr val="dk1"/>
              </a:solidFill>
              <a:effectLst/>
              <a:latin typeface="+mn-lt"/>
              <a:ea typeface="+mn-ea"/>
              <a:cs typeface="+mn-cs"/>
            </a:rPr>
            <a:t>: One-for-one rule and Small Business Lens output (required for RIAS)</a:t>
          </a:r>
          <a:r>
            <a:rPr lang="en-CA"/>
            <a:t> </a:t>
          </a:r>
          <a:r>
            <a:rPr lang="en-CA" sz="1100" b="0" i="0" u="none" strike="noStrike">
              <a:solidFill>
                <a:schemeClr val="dk1"/>
              </a:solidFill>
              <a:effectLst/>
              <a:latin typeface="+mn-lt"/>
              <a:ea typeface="+mn-ea"/>
              <a:cs typeface="+mn-cs"/>
            </a:rPr>
            <a:t> </a:t>
          </a:r>
          <a:r>
            <a:rPr lang="en-CA"/>
            <a:t> </a:t>
          </a:r>
          <a:r>
            <a:rPr lang="en-CA" sz="1100" b="1" i="0" u="none" strike="noStrike">
              <a:solidFill>
                <a:schemeClr val="dk1"/>
              </a:solidFill>
              <a:effectLst/>
              <a:latin typeface="+mn-lt"/>
              <a:ea typeface="+mn-ea"/>
              <a:cs typeface="+mn-cs"/>
            </a:rPr>
            <a:t> </a:t>
          </a:r>
          <a:r>
            <a:rPr lang="en-CA"/>
            <a:t> </a:t>
          </a:r>
        </a:p>
        <a:p>
          <a:pPr algn="l"/>
          <a:r>
            <a:rPr lang="en-CA" sz="1100" b="0" i="0" u="none" strike="noStrike" baseline="0">
              <a:solidFill>
                <a:schemeClr val="dk1"/>
              </a:solidFill>
              <a:effectLst/>
              <a:latin typeface="+mn-lt"/>
              <a:ea typeface="+mn-ea"/>
              <a:cs typeface="+mn-cs"/>
            </a:rPr>
            <a:t>       </a:t>
          </a:r>
          <a:r>
            <a:rPr lang="en-CA" sz="1100" b="0" i="0" u="none" strike="noStrike">
              <a:solidFill>
                <a:schemeClr val="dk1"/>
              </a:solidFill>
              <a:effectLst/>
              <a:latin typeface="+mn-lt"/>
              <a:ea typeface="+mn-ea"/>
              <a:cs typeface="+mn-cs"/>
            </a:rPr>
            <a:t>: Optional output tables (not necessarily required for RIAS)</a:t>
          </a:r>
          <a:r>
            <a:rPr lang="en-CA"/>
            <a:t> </a:t>
          </a:r>
          <a:r>
            <a:rPr lang="en-CA" sz="1100" b="0"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p>
        <a:p>
          <a:pPr algn="l"/>
          <a:r>
            <a:rPr lang="en-CA" sz="1100" b="0" i="0" u="none" strike="noStrike" baseline="0">
              <a:solidFill>
                <a:schemeClr val="dk1"/>
              </a:solidFill>
              <a:effectLst/>
              <a:latin typeface="+mn-lt"/>
              <a:ea typeface="+mn-ea"/>
              <a:cs typeface="+mn-cs"/>
            </a:rPr>
            <a:t>       </a:t>
          </a:r>
          <a:r>
            <a:rPr lang="en-CA" sz="1100" b="0" i="0" u="none" strike="noStrike">
              <a:solidFill>
                <a:schemeClr val="dk1"/>
              </a:solidFill>
              <a:effectLst/>
              <a:latin typeface="+mn-lt"/>
              <a:ea typeface="+mn-ea"/>
              <a:cs typeface="+mn-cs"/>
            </a:rPr>
            <a:t>: Optional inputs (edits</a:t>
          </a:r>
          <a:r>
            <a:rPr lang="en-CA" sz="1100" b="0" i="0" u="none" strike="noStrike" baseline="0">
              <a:solidFill>
                <a:schemeClr val="dk1"/>
              </a:solidFill>
              <a:effectLst/>
              <a:latin typeface="+mn-lt"/>
              <a:ea typeface="+mn-ea"/>
              <a:cs typeface="+mn-cs"/>
            </a:rPr>
            <a:t> are not necessary)</a:t>
          </a:r>
          <a:endParaRPr lang="en-CA" sz="1100" b="0" i="0" u="none" strike="noStrike">
            <a:solidFill>
              <a:schemeClr val="dk1"/>
            </a:solidFill>
            <a:effectLst/>
            <a:latin typeface="+mn-lt"/>
            <a:ea typeface="+mn-ea"/>
            <a:cs typeface="+mn-cs"/>
          </a:endParaRPr>
        </a:p>
        <a:p>
          <a:pPr algn="l"/>
          <a:r>
            <a:rPr lang="en-CA" sz="1100" b="0" i="0" u="none" strike="noStrike">
              <a:solidFill>
                <a:schemeClr val="dk1"/>
              </a:solidFill>
              <a:effectLst/>
              <a:latin typeface="+mn-lt"/>
              <a:ea typeface="+mn-ea"/>
              <a:cs typeface="+mn-cs"/>
            </a:rPr>
            <a:t>       : RCC model internals (edits</a:t>
          </a:r>
          <a:r>
            <a:rPr lang="en-CA" sz="1100" b="0" i="0" u="none" strike="noStrike" baseline="0">
              <a:solidFill>
                <a:schemeClr val="dk1"/>
              </a:solidFill>
              <a:effectLst/>
              <a:latin typeface="+mn-lt"/>
              <a:ea typeface="+mn-ea"/>
              <a:cs typeface="+mn-cs"/>
            </a:rPr>
            <a:t> are not recommended</a:t>
          </a:r>
          <a:r>
            <a:rPr lang="en-CA" sz="1100" b="0" i="0" u="none" strike="noStrike">
              <a:solidFill>
                <a:schemeClr val="dk1"/>
              </a:solidFill>
              <a:effectLst/>
              <a:latin typeface="+mn-lt"/>
              <a:ea typeface="+mn-ea"/>
              <a:cs typeface="+mn-cs"/>
            </a:rPr>
            <a:t>)</a:t>
          </a:r>
          <a:r>
            <a:rPr lang="en-CA"/>
            <a:t> </a:t>
          </a:r>
          <a:r>
            <a:rPr lang="en-CA" sz="1100" b="1"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r>
            <a:rPr lang="en-CA"/>
            <a:t> </a:t>
          </a:r>
        </a:p>
        <a:p>
          <a:pPr algn="l"/>
          <a:endParaRPr lang="en-CA" sz="1100" b="1" i="0" u="none" strike="noStrike">
            <a:solidFill>
              <a:schemeClr val="dk1"/>
            </a:solidFill>
            <a:effectLst/>
            <a:latin typeface="+mn-lt"/>
            <a:ea typeface="+mn-ea"/>
            <a:cs typeface="+mn-cs"/>
          </a:endParaRPr>
        </a:p>
        <a:p>
          <a:r>
            <a:rPr lang="en-CA" sz="1100" b="1" i="0">
              <a:solidFill>
                <a:schemeClr val="dk1"/>
              </a:solidFill>
              <a:effectLst/>
              <a:latin typeface="+mn-lt"/>
              <a:ea typeface="+mn-ea"/>
              <a:cs typeface="+mn-cs"/>
            </a:rPr>
            <a:t>Step-by-step instructions:</a:t>
          </a:r>
          <a:r>
            <a:rPr lang="en-CA" sz="110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1: </a:t>
          </a:r>
          <a:r>
            <a:rPr lang="en-CA" sz="1100" b="0" i="0">
              <a:solidFill>
                <a:schemeClr val="dk1"/>
              </a:solidFill>
              <a:effectLst/>
              <a:latin typeface="+mn-lt"/>
              <a:ea typeface="+mn-ea"/>
              <a:cs typeface="+mn-cs"/>
            </a:rPr>
            <a:t>Enter information pertaining to the regulatory change on the 'Initiative Details' tab. </a:t>
          </a:r>
          <a:r>
            <a:rPr lang="en-CA" sz="1100">
              <a:solidFill>
                <a:schemeClr val="dk1"/>
              </a:solidFill>
              <a:effectLst/>
              <a:latin typeface="+mn-lt"/>
              <a:ea typeface="+mn-ea"/>
              <a:cs typeface="+mn-cs"/>
            </a:rPr>
            <a:t> </a:t>
          </a:r>
          <a:r>
            <a:rPr lang="en-CA" sz="1100" b="1" i="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2: </a:t>
          </a:r>
          <a:r>
            <a:rPr lang="en-CA" sz="1100" b="0" i="0">
              <a:solidFill>
                <a:schemeClr val="dk1"/>
              </a:solidFill>
              <a:effectLst/>
              <a:latin typeface="+mn-lt"/>
              <a:ea typeface="+mn-ea"/>
              <a:cs typeface="+mn-cs"/>
            </a:rPr>
            <a:t>Enter stakeholder names, counts (at the start of the analytical period), and growth rates on the 'Stakeholder Profile' tab.</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 </a:t>
          </a:r>
          <a:r>
            <a:rPr lang="en-CA" sz="110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3:</a:t>
          </a:r>
          <a:r>
            <a:rPr lang="en-CA" sz="1100" b="0" i="0">
              <a:solidFill>
                <a:schemeClr val="dk1"/>
              </a:solidFill>
              <a:effectLst/>
              <a:latin typeface="+mn-lt"/>
              <a:ea typeface="+mn-ea"/>
              <a:cs typeface="+mn-cs"/>
            </a:rPr>
            <a:t> Enter the regulatory activities on the 'Activities' tab. For each regulatory requirement, specify things like:</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the start and end dates of the requirement,</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the affected</a:t>
          </a:r>
          <a:r>
            <a:rPr lang="en-CA" sz="1100" b="0" i="0" baseline="0">
              <a:solidFill>
                <a:schemeClr val="dk1"/>
              </a:solidFill>
              <a:effectLst/>
              <a:latin typeface="+mn-lt"/>
              <a:ea typeface="+mn-ea"/>
              <a:cs typeface="+mn-cs"/>
            </a:rPr>
            <a:t> </a:t>
          </a:r>
          <a:r>
            <a:rPr lang="en-CA" sz="1100" b="0" i="0">
              <a:solidFill>
                <a:schemeClr val="dk1"/>
              </a:solidFill>
              <a:effectLst/>
              <a:latin typeface="+mn-lt"/>
              <a:ea typeface="+mn-ea"/>
              <a:cs typeface="+mn-cs"/>
            </a:rPr>
            <a:t>stakeholder</a:t>
          </a:r>
          <a:r>
            <a:rPr lang="en-CA" sz="1100" b="0" i="0" baseline="0">
              <a:solidFill>
                <a:schemeClr val="dk1"/>
              </a:solidFill>
              <a:effectLst/>
              <a:latin typeface="+mn-lt"/>
              <a:ea typeface="+mn-ea"/>
              <a:cs typeface="+mn-cs"/>
            </a:rPr>
            <a:t> </a:t>
          </a:r>
          <a:r>
            <a:rPr lang="en-CA" sz="1100" b="0" i="0">
              <a:solidFill>
                <a:schemeClr val="dk1"/>
              </a:solidFill>
              <a:effectLst/>
              <a:latin typeface="+mn-lt"/>
              <a:ea typeface="+mn-ea"/>
              <a:cs typeface="+mn-cs"/>
            </a:rPr>
            <a:t>group(s) and type(s),</a:t>
          </a:r>
          <a:r>
            <a:rPr lang="en-CA" sz="1100" b="0" i="0" baseline="0">
              <a:solidFill>
                <a:schemeClr val="dk1"/>
              </a:solidFill>
              <a:effectLst/>
              <a:latin typeface="+mn-lt"/>
              <a:ea typeface="+mn-ea"/>
              <a:cs typeface="+mn-cs"/>
            </a:rPr>
            <a:t> </a:t>
          </a:r>
          <a:r>
            <a:rPr lang="en-CA" sz="1100" b="0" i="0">
              <a:solidFill>
                <a:schemeClr val="dk1"/>
              </a:solidFill>
              <a:effectLst/>
              <a:latin typeface="+mn-lt"/>
              <a:ea typeface="+mn-ea"/>
              <a:cs typeface="+mn-cs"/>
            </a:rPr>
            <a:t>monetary impacts incurred by each affected stakeholder (capital or labour),</a:t>
          </a:r>
          <a:r>
            <a:rPr lang="en-CA" sz="1100" b="0" i="0" baseline="0">
              <a:solidFill>
                <a:schemeClr val="dk1"/>
              </a:solidFill>
              <a:effectLst/>
              <a:latin typeface="+mn-lt"/>
              <a:ea typeface="+mn-ea"/>
              <a:cs typeface="+mn-cs"/>
            </a:rPr>
            <a:t> </a:t>
          </a:r>
          <a:r>
            <a:rPr lang="en-CA" sz="1100" b="0" i="0">
              <a:solidFill>
                <a:schemeClr val="dk1"/>
              </a:solidFill>
              <a:effectLst/>
              <a:latin typeface="+mn-lt"/>
              <a:ea typeface="+mn-ea"/>
              <a:cs typeface="+mn-cs"/>
            </a:rPr>
            <a:t>the annual frequency of the activity.</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 </a:t>
          </a:r>
          <a:r>
            <a:rPr lang="en-CA" sz="110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4: </a:t>
          </a:r>
          <a:r>
            <a:rPr lang="en-CA" sz="1100" b="0" i="0">
              <a:solidFill>
                <a:schemeClr val="dk1"/>
              </a:solidFill>
              <a:effectLst/>
              <a:latin typeface="+mn-lt"/>
              <a:ea typeface="+mn-ea"/>
              <a:cs typeface="+mn-cs"/>
            </a:rPr>
            <a:t>Add the numerical estimates from the One-for-one and Small Business Lens tabs into the RIAS.</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 </a:t>
          </a:r>
          <a:r>
            <a:rPr lang="en-CA" sz="110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5:</a:t>
          </a:r>
          <a:r>
            <a:rPr lang="en-CA" sz="1100" b="0" i="0">
              <a:solidFill>
                <a:schemeClr val="dk1"/>
              </a:solidFill>
              <a:effectLst/>
              <a:latin typeface="+mn-lt"/>
              <a:ea typeface="+mn-ea"/>
              <a:cs typeface="+mn-cs"/>
            </a:rPr>
            <a:t> Adjust the auto-generated One-for-one RIAS text, as appropriate.</a:t>
          </a:r>
          <a:r>
            <a:rPr lang="en-CA" sz="1100">
              <a:solidFill>
                <a:schemeClr val="dk1"/>
              </a:solidFill>
              <a:effectLst/>
              <a:latin typeface="+mn-lt"/>
              <a:ea typeface="+mn-ea"/>
              <a:cs typeface="+mn-cs"/>
            </a:rPr>
            <a:t> </a:t>
          </a:r>
          <a:endParaRPr lang="en-CA">
            <a:effectLst/>
          </a:endParaRPr>
        </a:p>
      </xdr:txBody>
    </xdr:sp>
    <xdr:clientData fLocksWithSheet="0" fPrintsWithSheet="0"/>
  </xdr:twoCellAnchor>
  <xdr:twoCellAnchor editAs="absolute">
    <xdr:from>
      <xdr:col>4</xdr:col>
      <xdr:colOff>880441</xdr:colOff>
      <xdr:row>9</xdr:row>
      <xdr:rowOff>121708</xdr:rowOff>
    </xdr:from>
    <xdr:to>
      <xdr:col>6</xdr:col>
      <xdr:colOff>730250</xdr:colOff>
      <xdr:row>11</xdr:row>
      <xdr:rowOff>52308</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4489358" y="1740958"/>
          <a:ext cx="1691309" cy="29043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CA" sz="1200" b="0" i="0" u="sng" strike="noStrike">
            <a:solidFill>
              <a:schemeClr val="accent1"/>
            </a:solidFill>
            <a:effectLst/>
            <a:latin typeface="+mn-lt"/>
            <a:ea typeface="+mn-ea"/>
            <a:cs typeface="+mn-cs"/>
          </a:endParaRPr>
        </a:p>
      </xdr:txBody>
    </xdr:sp>
    <xdr:clientData/>
  </xdr:twoCellAnchor>
  <xdr:twoCellAnchor editAs="absolute">
    <xdr:from>
      <xdr:col>5</xdr:col>
      <xdr:colOff>402165</xdr:colOff>
      <xdr:row>11</xdr:row>
      <xdr:rowOff>64919</xdr:rowOff>
    </xdr:from>
    <xdr:to>
      <xdr:col>7</xdr:col>
      <xdr:colOff>174623</xdr:colOff>
      <xdr:row>13</xdr:row>
      <xdr:rowOff>137583</xdr:rowOff>
    </xdr:to>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4931832" y="2044002"/>
          <a:ext cx="1926167" cy="432498"/>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a:solidFill>
                <a:schemeClr val="accent1"/>
              </a:solidFill>
            </a:rPr>
            <a:t>        </a:t>
          </a:r>
        </a:p>
      </xdr:txBody>
    </xdr:sp>
    <xdr:clientData/>
  </xdr:twoCellAnchor>
  <xdr:twoCellAnchor editAs="absolute">
    <xdr:from>
      <xdr:col>0</xdr:col>
      <xdr:colOff>107588</xdr:colOff>
      <xdr:row>18</xdr:row>
      <xdr:rowOff>115661</xdr:rowOff>
    </xdr:from>
    <xdr:to>
      <xdr:col>4</xdr:col>
      <xdr:colOff>635800</xdr:colOff>
      <xdr:row>19</xdr:row>
      <xdr:rowOff>172196</xdr:rowOff>
    </xdr:to>
    <xdr:sp macro="" textlink="">
      <xdr:nvSpPr>
        <xdr:cNvPr id="9" name="TextBox 8">
          <a:hlinkClick xmlns:r="http://schemas.openxmlformats.org/officeDocument/2006/relationships" r:id="rId4"/>
          <a:extLst>
            <a:ext uri="{FF2B5EF4-FFF2-40B4-BE49-F238E27FC236}">
              <a16:creationId xmlns:a16="http://schemas.microsoft.com/office/drawing/2014/main" id="{00000000-0008-0000-0000-000009000000}"/>
            </a:ext>
          </a:extLst>
        </xdr:cNvPr>
        <xdr:cNvSpPr txBox="1"/>
      </xdr:nvSpPr>
      <xdr:spPr>
        <a:xfrm>
          <a:off x="107588" y="3470118"/>
          <a:ext cx="3903375" cy="24289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0" i="0" u="none">
              <a:solidFill>
                <a:schemeClr val="accent1"/>
              </a:solidFill>
              <a:effectLst/>
              <a:latin typeface="+mn-lt"/>
              <a:ea typeface="+mn-ea"/>
              <a:cs typeface="+mn-cs"/>
            </a:rPr>
            <a:t>Guide on Limiting Regulatory Burden on Business</a:t>
          </a:r>
          <a:endParaRPr lang="en-CA" sz="1050" u="none">
            <a:solidFill>
              <a:schemeClr val="accent1"/>
            </a:solidFill>
          </a:endParaRPr>
        </a:p>
      </xdr:txBody>
    </xdr:sp>
    <xdr:clientData/>
  </xdr:twoCellAnchor>
  <xdr:twoCellAnchor editAs="absolute">
    <xdr:from>
      <xdr:col>0</xdr:col>
      <xdr:colOff>112288</xdr:colOff>
      <xdr:row>17</xdr:row>
      <xdr:rowOff>60840</xdr:rowOff>
    </xdr:from>
    <xdr:to>
      <xdr:col>4</xdr:col>
      <xdr:colOff>646407</xdr:colOff>
      <xdr:row>18</xdr:row>
      <xdr:rowOff>157204</xdr:rowOff>
    </xdr:to>
    <xdr:sp macro="" textlink="">
      <xdr:nvSpPr>
        <xdr:cNvPr id="10" name="TextBox 9">
          <a:hlinkClick xmlns:r="http://schemas.openxmlformats.org/officeDocument/2006/relationships" r:id="rId5"/>
          <a:extLst>
            <a:ext uri="{FF2B5EF4-FFF2-40B4-BE49-F238E27FC236}">
              <a16:creationId xmlns:a16="http://schemas.microsoft.com/office/drawing/2014/main" id="{00000000-0008-0000-0000-00000A000000}"/>
            </a:ext>
          </a:extLst>
        </xdr:cNvPr>
        <xdr:cNvSpPr txBox="1"/>
      </xdr:nvSpPr>
      <xdr:spPr>
        <a:xfrm>
          <a:off x="112288" y="3228938"/>
          <a:ext cx="3909282" cy="28272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0" i="0" u="none">
              <a:solidFill>
                <a:schemeClr val="accent1"/>
              </a:solidFill>
              <a:effectLst/>
              <a:latin typeface="+mn-lt"/>
              <a:ea typeface="+mn-ea"/>
              <a:cs typeface="+mn-cs"/>
            </a:rPr>
            <a:t>Policy on Limiting Regulatory Burden on Business</a:t>
          </a:r>
          <a:endParaRPr lang="en-CA" sz="1200" u="none">
            <a:solidFill>
              <a:schemeClr val="accent1"/>
            </a:solidFill>
          </a:endParaRPr>
        </a:p>
      </xdr:txBody>
    </xdr:sp>
    <xdr:clientData/>
  </xdr:twoCellAnchor>
  <xdr:twoCellAnchor editAs="oneCell">
    <xdr:from>
      <xdr:col>8</xdr:col>
      <xdr:colOff>53022</xdr:colOff>
      <xdr:row>34</xdr:row>
      <xdr:rowOff>6877</xdr:rowOff>
    </xdr:from>
    <xdr:to>
      <xdr:col>13</xdr:col>
      <xdr:colOff>609070</xdr:colOff>
      <xdr:row>36</xdr:row>
      <xdr:rowOff>162029</xdr:rowOff>
    </xdr:to>
    <xdr:sp macro="" textlink="">
      <xdr:nvSpPr>
        <xdr:cNvPr id="20" name="Arrow: Right 19">
          <a:hlinkClick xmlns:r="http://schemas.openxmlformats.org/officeDocument/2006/relationships" r:id="rId6"/>
          <a:extLst>
            <a:ext uri="{FF2B5EF4-FFF2-40B4-BE49-F238E27FC236}">
              <a16:creationId xmlns:a16="http://schemas.microsoft.com/office/drawing/2014/main" id="{00000000-0008-0000-0000-000014000000}"/>
            </a:ext>
          </a:extLst>
        </xdr:cNvPr>
        <xdr:cNvSpPr/>
      </xdr:nvSpPr>
      <xdr:spPr>
        <a:xfrm rot="10800000" flipH="1" flipV="1">
          <a:off x="7842355" y="6124044"/>
          <a:ext cx="3783965" cy="514985"/>
        </a:xfrm>
        <a:prstGeom prst="righ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Get</a:t>
          </a:r>
          <a:r>
            <a:rPr lang="en-CA" sz="1000" b="1" baseline="0">
              <a:solidFill>
                <a:schemeClr val="tx1"/>
              </a:solidFill>
              <a:latin typeface="Arial" panose="020B0604020202020204" pitchFamily="34" charset="0"/>
              <a:cs typeface="Arial" panose="020B0604020202020204" pitchFamily="34" charset="0"/>
            </a:rPr>
            <a:t> Started:</a:t>
          </a:r>
          <a:r>
            <a:rPr lang="en-CA" sz="1000" b="1">
              <a:solidFill>
                <a:schemeClr val="tx1"/>
              </a:solidFill>
              <a:latin typeface="Arial" panose="020B0604020202020204" pitchFamily="34" charset="0"/>
              <a:cs typeface="Arial" panose="020B0604020202020204" pitchFamily="34" charset="0"/>
            </a:rPr>
            <a:t> Initiative Details</a:t>
          </a:r>
        </a:p>
      </xdr:txBody>
    </xdr:sp>
    <xdr:clientData/>
  </xdr:twoCellAnchor>
  <xdr:twoCellAnchor>
    <xdr:from>
      <xdr:col>0</xdr:col>
      <xdr:colOff>144421</xdr:colOff>
      <xdr:row>21</xdr:row>
      <xdr:rowOff>54765</xdr:rowOff>
    </xdr:from>
    <xdr:to>
      <xdr:col>0</xdr:col>
      <xdr:colOff>297229</xdr:colOff>
      <xdr:row>25</xdr:row>
      <xdr:rowOff>160582</xdr:rowOff>
    </xdr:to>
    <xdr:grpSp>
      <xdr:nvGrpSpPr>
        <xdr:cNvPr id="18" name="Group 17">
          <a:extLst>
            <a:ext uri="{FF2B5EF4-FFF2-40B4-BE49-F238E27FC236}">
              <a16:creationId xmlns:a16="http://schemas.microsoft.com/office/drawing/2014/main" id="{B5F4DCA9-8999-E29C-77CE-7A58E4EDB472}"/>
            </a:ext>
          </a:extLst>
        </xdr:cNvPr>
        <xdr:cNvGrpSpPr/>
      </xdr:nvGrpSpPr>
      <xdr:grpSpPr>
        <a:xfrm>
          <a:off x="142516" y="3809044"/>
          <a:ext cx="152808" cy="818287"/>
          <a:chOff x="133838" y="3850282"/>
          <a:chExt cx="148046" cy="848321"/>
        </a:xfrm>
      </xdr:grpSpPr>
      <xdr:sp macro="" textlink="">
        <xdr:nvSpPr>
          <xdr:cNvPr id="11" name="Oval 10">
            <a:extLst>
              <a:ext uri="{FF2B5EF4-FFF2-40B4-BE49-F238E27FC236}">
                <a16:creationId xmlns:a16="http://schemas.microsoft.com/office/drawing/2014/main" id="{00000000-0008-0000-0000-00000B000000}"/>
              </a:ext>
            </a:extLst>
          </xdr:cNvPr>
          <xdr:cNvSpPr/>
        </xdr:nvSpPr>
        <xdr:spPr>
          <a:xfrm>
            <a:off x="133838" y="3850282"/>
            <a:ext cx="144541" cy="144903"/>
          </a:xfrm>
          <a:prstGeom prst="ellipse">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2" name="Oval 11">
            <a:extLst>
              <a:ext uri="{FF2B5EF4-FFF2-40B4-BE49-F238E27FC236}">
                <a16:creationId xmlns:a16="http://schemas.microsoft.com/office/drawing/2014/main" id="{00000000-0008-0000-0000-00000C000000}"/>
              </a:ext>
            </a:extLst>
          </xdr:cNvPr>
          <xdr:cNvSpPr/>
        </xdr:nvSpPr>
        <xdr:spPr>
          <a:xfrm>
            <a:off x="137101" y="4025374"/>
            <a:ext cx="144541" cy="144903"/>
          </a:xfrm>
          <a:prstGeom prst="ellipse">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Oval 12">
            <a:extLst>
              <a:ext uri="{FF2B5EF4-FFF2-40B4-BE49-F238E27FC236}">
                <a16:creationId xmlns:a16="http://schemas.microsoft.com/office/drawing/2014/main" id="{00000000-0008-0000-0000-00000D000000}"/>
              </a:ext>
            </a:extLst>
          </xdr:cNvPr>
          <xdr:cNvSpPr/>
        </xdr:nvSpPr>
        <xdr:spPr>
          <a:xfrm>
            <a:off x="137343" y="4204037"/>
            <a:ext cx="144541" cy="144902"/>
          </a:xfrm>
          <a:prstGeom prst="ellipse">
            <a:avLst/>
          </a:prstGeom>
          <a:solidFill>
            <a:srgbClr val="F4EE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4" name="Oval 13">
            <a:extLst>
              <a:ext uri="{FF2B5EF4-FFF2-40B4-BE49-F238E27FC236}">
                <a16:creationId xmlns:a16="http://schemas.microsoft.com/office/drawing/2014/main" id="{00000000-0008-0000-0000-00000E000000}"/>
              </a:ext>
            </a:extLst>
          </xdr:cNvPr>
          <xdr:cNvSpPr/>
        </xdr:nvSpPr>
        <xdr:spPr>
          <a:xfrm>
            <a:off x="136591" y="4556141"/>
            <a:ext cx="144541" cy="142462"/>
          </a:xfrm>
          <a:prstGeom prst="ellipse">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2" name="Oval 1">
            <a:extLst>
              <a:ext uri="{FF2B5EF4-FFF2-40B4-BE49-F238E27FC236}">
                <a16:creationId xmlns:a16="http://schemas.microsoft.com/office/drawing/2014/main" id="{00000000-0008-0000-0000-000002000000}"/>
              </a:ext>
            </a:extLst>
          </xdr:cNvPr>
          <xdr:cNvSpPr/>
        </xdr:nvSpPr>
        <xdr:spPr>
          <a:xfrm>
            <a:off x="135717" y="4381391"/>
            <a:ext cx="144541" cy="142462"/>
          </a:xfrm>
          <a:prstGeom prst="ellipse">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2769445</xdr:colOff>
      <xdr:row>16</xdr:row>
      <xdr:rowOff>167906</xdr:rowOff>
    </xdr:from>
    <xdr:to>
      <xdr:col>3</xdr:col>
      <xdr:colOff>5093686</xdr:colOff>
      <xdr:row>18</xdr:row>
      <xdr:rowOff>167640</xdr:rowOff>
    </xdr:to>
    <xdr:sp macro="" textlink="">
      <xdr:nvSpPr>
        <xdr:cNvPr id="28" name="Arrow: Right 27">
          <a:hlinkClick xmlns:r="http://schemas.openxmlformats.org/officeDocument/2006/relationships" r:id="rId1"/>
          <a:extLst>
            <a:ext uri="{FF2B5EF4-FFF2-40B4-BE49-F238E27FC236}">
              <a16:creationId xmlns:a16="http://schemas.microsoft.com/office/drawing/2014/main" id="{00000000-0008-0000-0100-00001C000000}"/>
            </a:ext>
          </a:extLst>
        </xdr:cNvPr>
        <xdr:cNvSpPr/>
      </xdr:nvSpPr>
      <xdr:spPr>
        <a:xfrm rot="10800000" flipH="1" flipV="1">
          <a:off x="6314968" y="4369277"/>
          <a:ext cx="2324241" cy="361473"/>
        </a:xfrm>
        <a:prstGeom prst="righ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Stakeholder Profile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9014</xdr:colOff>
      <xdr:row>11</xdr:row>
      <xdr:rowOff>116417</xdr:rowOff>
    </xdr:from>
    <xdr:to>
      <xdr:col>2</xdr:col>
      <xdr:colOff>103663</xdr:colOff>
      <xdr:row>14</xdr:row>
      <xdr:rowOff>65299</xdr:rowOff>
    </xdr:to>
    <xdr:sp macro="" textlink="">
      <xdr:nvSpPr>
        <xdr:cNvPr id="18" name="Arrow: Left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rot="10800000" flipH="1" flipV="1">
          <a:off x="845097" y="1354667"/>
          <a:ext cx="2372077" cy="392430"/>
        </a:xfrm>
        <a:prstGeom prst="lef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Previous Step: Initiative Details</a:t>
          </a:r>
        </a:p>
      </xdr:txBody>
    </xdr:sp>
    <xdr:clientData/>
  </xdr:twoCellAnchor>
  <xdr:twoCellAnchor editAs="oneCell">
    <xdr:from>
      <xdr:col>8</xdr:col>
      <xdr:colOff>808908</xdr:colOff>
      <xdr:row>11</xdr:row>
      <xdr:rowOff>105834</xdr:rowOff>
    </xdr:from>
    <xdr:to>
      <xdr:col>10</xdr:col>
      <xdr:colOff>20378</xdr:colOff>
      <xdr:row>14</xdr:row>
      <xdr:rowOff>45244</xdr:rowOff>
    </xdr:to>
    <xdr:sp macro="" textlink="">
      <xdr:nvSpPr>
        <xdr:cNvPr id="19" name="Arrow: Right 18">
          <a:hlinkClick xmlns:r="http://schemas.openxmlformats.org/officeDocument/2006/relationships" r:id="rId2"/>
          <a:extLst>
            <a:ext uri="{FF2B5EF4-FFF2-40B4-BE49-F238E27FC236}">
              <a16:creationId xmlns:a16="http://schemas.microsoft.com/office/drawing/2014/main" id="{00000000-0008-0000-0200-000013000000}"/>
            </a:ext>
          </a:extLst>
        </xdr:cNvPr>
        <xdr:cNvSpPr/>
      </xdr:nvSpPr>
      <xdr:spPr>
        <a:xfrm rot="10800000" flipH="1" flipV="1">
          <a:off x="14630741" y="1344084"/>
          <a:ext cx="2278838" cy="379148"/>
        </a:xfrm>
        <a:prstGeom prst="righ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Activities</a:t>
          </a:r>
        </a:p>
      </xdr:txBody>
    </xdr:sp>
    <xdr:clientData/>
  </xdr:twoCellAnchor>
  <xdr:twoCellAnchor editAs="oneCell">
    <xdr:from>
      <xdr:col>4</xdr:col>
      <xdr:colOff>1286054</xdr:colOff>
      <xdr:row>12</xdr:row>
      <xdr:rowOff>88984</xdr:rowOff>
    </xdr:from>
    <xdr:to>
      <xdr:col>5</xdr:col>
      <xdr:colOff>1583308</xdr:colOff>
      <xdr:row>13</xdr:row>
      <xdr:rowOff>133126</xdr:rowOff>
    </xdr:to>
    <xdr:sp macro="" textlink="">
      <xdr:nvSpPr>
        <xdr:cNvPr id="21" name="Rectangle 20">
          <a:hlinkClick xmlns:r="http://schemas.openxmlformats.org/officeDocument/2006/relationships" r:id="rId3"/>
          <a:extLst>
            <a:ext uri="{FF2B5EF4-FFF2-40B4-BE49-F238E27FC236}">
              <a16:creationId xmlns:a16="http://schemas.microsoft.com/office/drawing/2014/main" id="{00000000-0008-0000-0200-000015000000}"/>
            </a:ext>
          </a:extLst>
        </xdr:cNvPr>
        <xdr:cNvSpPr/>
      </xdr:nvSpPr>
      <xdr:spPr>
        <a:xfrm rot="10800000" flipH="1" flipV="1">
          <a:off x="8239304" y="1475401"/>
          <a:ext cx="2325444" cy="201833"/>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View Annual Stakeholder Count</a:t>
          </a:r>
        </a:p>
      </xdr:txBody>
    </xdr:sp>
    <xdr:clientData/>
  </xdr:twoCellAnchor>
  <xdr:twoCellAnchor>
    <xdr:from>
      <xdr:col>1</xdr:col>
      <xdr:colOff>88476</xdr:colOff>
      <xdr:row>3</xdr:row>
      <xdr:rowOff>0</xdr:rowOff>
    </xdr:from>
    <xdr:to>
      <xdr:col>4</xdr:col>
      <xdr:colOff>595312</xdr:colOff>
      <xdr:row>7</xdr:row>
      <xdr:rowOff>105834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21914" y="511969"/>
          <a:ext cx="6626648" cy="724959"/>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stakeholder</a:t>
          </a:r>
          <a:r>
            <a:rPr lang="en-CA" sz="1000" b="1" baseline="0">
              <a:solidFill>
                <a:schemeClr val="dk1"/>
              </a:solidFill>
              <a:effectLst/>
              <a:latin typeface="Arial" panose="020B0604020202020204" pitchFamily="34" charset="0"/>
              <a:ea typeface="+mn-ea"/>
              <a:cs typeface="Arial" panose="020B0604020202020204" pitchFamily="34" charset="0"/>
            </a:rPr>
            <a:t> group</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103099</xdr:colOff>
      <xdr:row>9</xdr:row>
      <xdr:rowOff>129347</xdr:rowOff>
    </xdr:from>
    <xdr:to>
      <xdr:col>3</xdr:col>
      <xdr:colOff>1416</xdr:colOff>
      <xdr:row>12</xdr:row>
      <xdr:rowOff>98432</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rot="10800000" flipH="1" flipV="1">
          <a:off x="813664" y="1539047"/>
          <a:ext cx="2522931" cy="432000"/>
        </a:xfrm>
        <a:prstGeom prst="lef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Previous Step: Stakeholder Profile</a:t>
          </a:r>
        </a:p>
      </xdr:txBody>
    </xdr:sp>
    <xdr:clientData/>
  </xdr:twoCellAnchor>
  <xdr:twoCellAnchor editAs="oneCell">
    <xdr:from>
      <xdr:col>4</xdr:col>
      <xdr:colOff>211164</xdr:colOff>
      <xdr:row>10</xdr:row>
      <xdr:rowOff>88201</xdr:rowOff>
    </xdr:from>
    <xdr:to>
      <xdr:col>6</xdr:col>
      <xdr:colOff>188291</xdr:colOff>
      <xdr:row>12</xdr:row>
      <xdr:rowOff>16016</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300-00000A000000}"/>
            </a:ext>
          </a:extLst>
        </xdr:cNvPr>
        <xdr:cNvSpPr/>
      </xdr:nvSpPr>
      <xdr:spPr>
        <a:xfrm rot="10800000" flipH="1" flipV="1">
          <a:off x="3727250" y="1644858"/>
          <a:ext cx="2160000" cy="216000"/>
        </a:xfrm>
        <a:prstGeom prst="rect">
          <a:avLst/>
        </a:prstGeom>
        <a:solidFill>
          <a:srgbClr val="92D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One-for-one</a:t>
          </a:r>
        </a:p>
      </xdr:txBody>
    </xdr:sp>
    <xdr:clientData/>
  </xdr:twoCellAnchor>
  <xdr:twoCellAnchor editAs="oneCell">
    <xdr:from>
      <xdr:col>6</xdr:col>
      <xdr:colOff>811078</xdr:colOff>
      <xdr:row>10</xdr:row>
      <xdr:rowOff>98823</xdr:rowOff>
    </xdr:from>
    <xdr:to>
      <xdr:col>8</xdr:col>
      <xdr:colOff>632253</xdr:colOff>
      <xdr:row>12</xdr:row>
      <xdr:rowOff>921</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rot="10800000" flipH="1" flipV="1">
          <a:off x="6630853" y="1660923"/>
          <a:ext cx="2151836" cy="202665"/>
        </a:xfrm>
        <a:prstGeom prst="rect">
          <a:avLst/>
        </a:prstGeom>
        <a:solidFill>
          <a:srgbClr val="92D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Small Business Lens</a:t>
          </a:r>
        </a:p>
      </xdr:txBody>
    </xdr:sp>
    <xdr:clientData/>
  </xdr:twoCellAnchor>
  <xdr:twoCellAnchor editAs="oneCell">
    <xdr:from>
      <xdr:col>9</xdr:col>
      <xdr:colOff>260709</xdr:colOff>
      <xdr:row>10</xdr:row>
      <xdr:rowOff>96663</xdr:rowOff>
    </xdr:from>
    <xdr:to>
      <xdr:col>11</xdr:col>
      <xdr:colOff>556190</xdr:colOff>
      <xdr:row>12</xdr:row>
      <xdr:rowOff>243</xdr:rowOff>
    </xdr:to>
    <xdr:sp macro="" textlink="">
      <xdr:nvSpPr>
        <xdr:cNvPr id="12" name="Rectangle 11">
          <a:hlinkClick xmlns:r="http://schemas.openxmlformats.org/officeDocument/2006/relationships" r:id="rId4"/>
          <a:extLst>
            <a:ext uri="{FF2B5EF4-FFF2-40B4-BE49-F238E27FC236}">
              <a16:creationId xmlns:a16="http://schemas.microsoft.com/office/drawing/2014/main" id="{00000000-0008-0000-0300-00000C000000}"/>
            </a:ext>
          </a:extLst>
        </xdr:cNvPr>
        <xdr:cNvSpPr/>
      </xdr:nvSpPr>
      <xdr:spPr>
        <a:xfrm rot="10800000" flipH="1" flipV="1">
          <a:off x="9242784" y="1658763"/>
          <a:ext cx="2150475" cy="208380"/>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Net Impacts</a:t>
          </a:r>
        </a:p>
      </xdr:txBody>
    </xdr:sp>
    <xdr:clientData/>
  </xdr:twoCellAnchor>
  <xdr:twoCellAnchor editAs="oneCell">
    <xdr:from>
      <xdr:col>13</xdr:col>
      <xdr:colOff>106888</xdr:colOff>
      <xdr:row>10</xdr:row>
      <xdr:rowOff>97508</xdr:rowOff>
    </xdr:from>
    <xdr:to>
      <xdr:col>16</xdr:col>
      <xdr:colOff>207107</xdr:colOff>
      <xdr:row>12</xdr:row>
      <xdr:rowOff>1088</xdr:rowOff>
    </xdr:to>
    <xdr:sp macro="" textlink="">
      <xdr:nvSpPr>
        <xdr:cNvPr id="13" name="Rectangle 12">
          <a:hlinkClick xmlns:r="http://schemas.openxmlformats.org/officeDocument/2006/relationships" r:id="rId5"/>
          <a:extLst>
            <a:ext uri="{FF2B5EF4-FFF2-40B4-BE49-F238E27FC236}">
              <a16:creationId xmlns:a16="http://schemas.microsoft.com/office/drawing/2014/main" id="{00000000-0008-0000-0300-00000D000000}"/>
            </a:ext>
          </a:extLst>
        </xdr:cNvPr>
        <xdr:cNvSpPr/>
      </xdr:nvSpPr>
      <xdr:spPr>
        <a:xfrm rot="10800000" flipH="1" flipV="1">
          <a:off x="11975038" y="1659608"/>
          <a:ext cx="2142379" cy="208380"/>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Net Impacts by Activity</a:t>
          </a:r>
        </a:p>
      </xdr:txBody>
    </xdr:sp>
    <xdr:clientData/>
  </xdr:twoCellAnchor>
  <xdr:twoCellAnchor editAs="oneCell">
    <xdr:from>
      <xdr:col>17</xdr:col>
      <xdr:colOff>27011</xdr:colOff>
      <xdr:row>10</xdr:row>
      <xdr:rowOff>98631</xdr:rowOff>
    </xdr:from>
    <xdr:to>
      <xdr:col>19</xdr:col>
      <xdr:colOff>645866</xdr:colOff>
      <xdr:row>12</xdr:row>
      <xdr:rowOff>16022</xdr:rowOff>
    </xdr:to>
    <xdr:sp macro="" textlink="">
      <xdr:nvSpPr>
        <xdr:cNvPr id="14" name="Rectangle 13">
          <a:hlinkClick xmlns:r="http://schemas.openxmlformats.org/officeDocument/2006/relationships" r:id="rId6"/>
          <a:extLst>
            <a:ext uri="{FF2B5EF4-FFF2-40B4-BE49-F238E27FC236}">
              <a16:creationId xmlns:a16="http://schemas.microsoft.com/office/drawing/2014/main" id="{00000000-0008-0000-0300-00000E000000}"/>
            </a:ext>
          </a:extLst>
        </xdr:cNvPr>
        <xdr:cNvSpPr/>
      </xdr:nvSpPr>
      <xdr:spPr>
        <a:xfrm rot="10800000" flipH="1" flipV="1">
          <a:off x="14781236" y="1660731"/>
          <a:ext cx="2152380" cy="209809"/>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Net Impacts by Stakeholder</a:t>
          </a:r>
        </a:p>
      </xdr:txBody>
    </xdr:sp>
    <xdr:clientData/>
  </xdr:twoCellAnchor>
  <xdr:twoCellAnchor editAs="oneCell">
    <xdr:from>
      <xdr:col>19</xdr:col>
      <xdr:colOff>1153336</xdr:colOff>
      <xdr:row>10</xdr:row>
      <xdr:rowOff>88317</xdr:rowOff>
    </xdr:from>
    <xdr:to>
      <xdr:col>20</xdr:col>
      <xdr:colOff>0</xdr:colOff>
      <xdr:row>12</xdr:row>
      <xdr:rowOff>16132</xdr:rowOff>
    </xdr:to>
    <xdr:sp macro="" textlink="">
      <xdr:nvSpPr>
        <xdr:cNvPr id="15" name="Rectangle 14">
          <a:hlinkClick xmlns:r="http://schemas.openxmlformats.org/officeDocument/2006/relationships" r:id="rId7"/>
          <a:extLst>
            <a:ext uri="{FF2B5EF4-FFF2-40B4-BE49-F238E27FC236}">
              <a16:creationId xmlns:a16="http://schemas.microsoft.com/office/drawing/2014/main" id="{00000000-0008-0000-0300-00000F000000}"/>
            </a:ext>
          </a:extLst>
        </xdr:cNvPr>
        <xdr:cNvSpPr/>
      </xdr:nvSpPr>
      <xdr:spPr>
        <a:xfrm rot="10800000" flipH="1" flipV="1">
          <a:off x="16240936" y="1644974"/>
          <a:ext cx="2168164" cy="216000"/>
        </a:xfrm>
        <a:prstGeom prst="rect">
          <a:avLst/>
        </a:prstGeom>
        <a:solidFill>
          <a:srgbClr val="FFC0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Add Custom Wage(s)</a:t>
          </a:r>
        </a:p>
      </xdr:txBody>
    </xdr:sp>
    <xdr:clientData/>
  </xdr:twoCellAnchor>
  <xdr:twoCellAnchor>
    <xdr:from>
      <xdr:col>1</xdr:col>
      <xdr:colOff>34713</xdr:colOff>
      <xdr:row>3</xdr:row>
      <xdr:rowOff>68158</xdr:rowOff>
    </xdr:from>
    <xdr:to>
      <xdr:col>6</xdr:col>
      <xdr:colOff>1143001</xdr:colOff>
      <xdr:row>7</xdr:row>
      <xdr:rowOff>139490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86130" y="565575"/>
          <a:ext cx="6018954" cy="663998"/>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Arial" panose="020B0604020202020204" pitchFamily="34" charset="0"/>
              <a:cs typeface="Arial" panose="020B0604020202020204" pitchFamily="34" charset="0"/>
            </a:rPr>
            <a:t>To enter a new activity:   </a:t>
          </a:r>
          <a:r>
            <a:rPr lang="en-CA" sz="1000">
              <a:latin typeface="Arial" panose="020B0604020202020204" pitchFamily="34" charset="0"/>
              <a:cs typeface="Arial" panose="020B0604020202020204" pitchFamily="34" charset="0"/>
            </a:rPr>
            <a:t>- enter text in the row immediately below the table;</a:t>
          </a:r>
          <a:r>
            <a:rPr lang="en-CA" sz="1000" baseline="0">
              <a:latin typeface="Arial" panose="020B0604020202020204" pitchFamily="34" charset="0"/>
              <a:cs typeface="Arial" panose="020B0604020202020204" pitchFamily="34" charset="0"/>
            </a:rPr>
            <a:t>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anywhere in the table ⯈ Insert ⯈ Table Rows (Above or Below)</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3497270</xdr:colOff>
      <xdr:row>10</xdr:row>
      <xdr:rowOff>46671</xdr:rowOff>
    </xdr:from>
    <xdr:to>
      <xdr:col>2</xdr:col>
      <xdr:colOff>303529</xdr:colOff>
      <xdr:row>13</xdr:row>
      <xdr:rowOff>20205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rot="10800000" flipH="1" flipV="1">
          <a:off x="3763970" y="1618296"/>
          <a:ext cx="2845109" cy="430734"/>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1094109</xdr:colOff>
      <xdr:row>10</xdr:row>
      <xdr:rowOff>59901</xdr:rowOff>
    </xdr:from>
    <xdr:to>
      <xdr:col>5</xdr:col>
      <xdr:colOff>788122</xdr:colOff>
      <xdr:row>12</xdr:row>
      <xdr:rowOff>134024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rot="10800000" flipH="1" flipV="1">
          <a:off x="5999696" y="1554691"/>
          <a:ext cx="2366939" cy="356275"/>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42333</xdr:colOff>
      <xdr:row>3</xdr:row>
      <xdr:rowOff>42333</xdr:rowOff>
    </xdr:from>
    <xdr:to>
      <xdr:col>2</xdr:col>
      <xdr:colOff>860562</xdr:colOff>
      <xdr:row>5</xdr:row>
      <xdr:rowOff>130586</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rot="10800000" flipH="1" flipV="1">
          <a:off x="656166" y="603250"/>
          <a:ext cx="2499921" cy="396228"/>
        </a:xfrm>
        <a:prstGeom prst="lef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Return to</a:t>
          </a:r>
          <a:r>
            <a:rPr lang="en-CA" sz="1000" b="1" baseline="0">
              <a:solidFill>
                <a:schemeClr val="tx1"/>
              </a:solidFill>
              <a:latin typeface="Arial" panose="020B0604020202020204" pitchFamily="34" charset="0"/>
              <a:cs typeface="Arial" panose="020B0604020202020204" pitchFamily="34" charset="0"/>
            </a:rPr>
            <a:t> </a:t>
          </a:r>
          <a:r>
            <a:rPr lang="en-CA" sz="1000" b="1">
              <a:solidFill>
                <a:schemeClr val="tx1"/>
              </a:solidFill>
              <a:latin typeface="Arial" panose="020B0604020202020204" pitchFamily="34" charset="0"/>
              <a:cs typeface="Arial" panose="020B0604020202020204" pitchFamily="34" charset="0"/>
            </a:rPr>
            <a:t>Stakeholder Profile</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808989</xdr:colOff>
      <xdr:row>9</xdr:row>
      <xdr:rowOff>146051</xdr:rowOff>
    </xdr:from>
    <xdr:to>
      <xdr:col>9</xdr:col>
      <xdr:colOff>1009308</xdr:colOff>
      <xdr:row>12</xdr:row>
      <xdr:rowOff>33484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rot="10800000" flipH="1" flipV="1">
          <a:off x="8609964" y="1641476"/>
          <a:ext cx="2295819" cy="373208"/>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8</xdr:col>
      <xdr:colOff>891752</xdr:colOff>
      <xdr:row>9</xdr:row>
      <xdr:rowOff>91440</xdr:rowOff>
    </xdr:from>
    <xdr:to>
      <xdr:col>11</xdr:col>
      <xdr:colOff>63159</xdr:colOff>
      <xdr:row>11</xdr:row>
      <xdr:rowOff>142703</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rot="10800000" flipH="1" flipV="1">
          <a:off x="9736667" y="1590675"/>
          <a:ext cx="2320372" cy="373208"/>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11</xdr:col>
      <xdr:colOff>896198</xdr:colOff>
      <xdr:row>9</xdr:row>
      <xdr:rowOff>108161</xdr:rowOff>
    </xdr:from>
    <xdr:to>
      <xdr:col>14</xdr:col>
      <xdr:colOff>69298</xdr:colOff>
      <xdr:row>12</xdr:row>
      <xdr:rowOff>8718</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rot="10800000" flipH="1" flipV="1">
          <a:off x="12888173" y="1603586"/>
          <a:ext cx="2316350" cy="386332"/>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11</xdr:col>
      <xdr:colOff>495447</xdr:colOff>
      <xdr:row>9</xdr:row>
      <xdr:rowOff>106044</xdr:rowOff>
    </xdr:from>
    <xdr:to>
      <xdr:col>15</xdr:col>
      <xdr:colOff>400171</xdr:colOff>
      <xdr:row>12</xdr:row>
      <xdr:rowOff>126340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rot="10800000" flipH="1" flipV="1">
          <a:off x="14335272" y="1515744"/>
          <a:ext cx="2343124" cy="477496"/>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twoCellAnchor>
    <xdr:from>
      <xdr:col>2</xdr:col>
      <xdr:colOff>114298</xdr:colOff>
      <xdr:row>3</xdr:row>
      <xdr:rowOff>114300</xdr:rowOff>
    </xdr:from>
    <xdr:to>
      <xdr:col>5</xdr:col>
      <xdr:colOff>314324</xdr:colOff>
      <xdr:row>10</xdr:row>
      <xdr:rowOff>95251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352548" y="590550"/>
          <a:ext cx="8486776" cy="106442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custom</a:t>
          </a:r>
          <a:r>
            <a:rPr lang="en-CA" sz="1000" b="1" baseline="0">
              <a:solidFill>
                <a:schemeClr val="dk1"/>
              </a:solidFill>
              <a:effectLst/>
              <a:latin typeface="Arial" panose="020B0604020202020204" pitchFamily="34" charset="0"/>
              <a:ea typeface="+mn-ea"/>
              <a:cs typeface="Arial" panose="020B0604020202020204" pitchFamily="34" charset="0"/>
            </a:rPr>
            <a:t> wage</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000">
            <a:effectLst/>
            <a:latin typeface="Arial" panose="020B0604020202020204" pitchFamily="34" charset="0"/>
            <a:cs typeface="Arial" panose="020B0604020202020204" pitchFamily="34" charset="0"/>
          </a:endParaRPr>
        </a:p>
        <a:p>
          <a:r>
            <a:rPr lang="en-CA" sz="1000" i="1">
              <a:effectLst/>
              <a:latin typeface="Arial" panose="020B0604020202020204" pitchFamily="34" charset="0"/>
              <a:cs typeface="Arial" panose="020B0604020202020204" pitchFamily="34" charset="0"/>
            </a:rPr>
            <a:t>Fill out the first 3 columns only</a:t>
          </a:r>
          <a:r>
            <a:rPr lang="en-CA" sz="1000" i="1" baseline="0">
              <a:effectLst/>
              <a:latin typeface="Arial" panose="020B0604020202020204" pitchFamily="34" charset="0"/>
              <a:cs typeface="Arial" panose="020B0604020202020204" pitchFamily="34" charset="0"/>
            </a:rPr>
            <a:t>; the final column will be calculated automatically depending on the Price Year selected on the Initiative Details tab. </a:t>
          </a:r>
          <a:endParaRPr lang="en-CA" sz="1000" i="1">
            <a:effectLst/>
            <a:latin typeface="Arial" panose="020B0604020202020204" pitchFamily="34" charset="0"/>
            <a:cs typeface="Arial" panose="020B0604020202020204" pitchFamily="34" charset="0"/>
          </a:endParaRPr>
        </a:p>
        <a:p>
          <a:endParaRPr lang="en-CA"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761999</xdr:colOff>
      <xdr:row>3</xdr:row>
      <xdr:rowOff>77894</xdr:rowOff>
    </xdr:from>
    <xdr:to>
      <xdr:col>13</xdr:col>
      <xdr:colOff>190500</xdr:colOff>
      <xdr:row>11</xdr:row>
      <xdr:rowOff>95251</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20749" y="522394"/>
          <a:ext cx="8244418" cy="120269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i="0" u="none" strike="noStrike">
              <a:solidFill>
                <a:schemeClr val="dk1"/>
              </a:solidFill>
              <a:effectLst/>
              <a:latin typeface="Arial" panose="020B0604020202020204" pitchFamily="34" charset="0"/>
              <a:ea typeface="+mn-ea"/>
              <a:cs typeface="Arial" panose="020B0604020202020204" pitchFamily="34" charset="0"/>
            </a:rPr>
            <a:t>To update the price level automatically (desktop</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version only)</a:t>
          </a:r>
          <a:r>
            <a:rPr lang="en-CA" sz="1000" b="1" i="0" u="none" strike="noStrike">
              <a:solidFill>
                <a:schemeClr val="dk1"/>
              </a:solidFill>
              <a:effectLst/>
              <a:latin typeface="Arial" panose="020B0604020202020204" pitchFamily="34" charset="0"/>
              <a:ea typeface="+mn-ea"/>
              <a:cs typeface="Arial" panose="020B0604020202020204" pitchFamily="34" charset="0"/>
            </a:rPr>
            <a:t>:</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a:t>
          </a:r>
          <a:r>
            <a:rPr lang="en-CA" sz="1000" b="0" i="0" u="none" strike="noStrike">
              <a:solidFill>
                <a:schemeClr val="dk1"/>
              </a:solidFill>
              <a:effectLst/>
              <a:latin typeface="Arial" panose="020B0604020202020204" pitchFamily="34" charset="0"/>
              <a:ea typeface="+mn-ea"/>
              <a:cs typeface="Arial" panose="020B0604020202020204" pitchFamily="34" charset="0"/>
            </a:rPr>
            <a:t>- right click anywhere in the table ⯈ Refresh; or</a:t>
          </a:r>
        </a:p>
        <a:p>
          <a:r>
            <a:rPr lang="en-CA" sz="1000">
              <a:latin typeface="Arial" panose="020B0604020202020204" pitchFamily="34" charset="0"/>
              <a:cs typeface="Arial" panose="020B0604020202020204" pitchFamily="34" charset="0"/>
            </a:rPr>
            <a:t>                                                                             	</a:t>
          </a:r>
          <a:r>
            <a:rPr lang="en-CA" sz="1000" baseline="0">
              <a:latin typeface="Arial" panose="020B0604020202020204" pitchFamily="34" charset="0"/>
              <a:cs typeface="Arial" panose="020B0604020202020204" pitchFamily="34" charset="0"/>
            </a:rPr>
            <a:t>                                </a:t>
          </a:r>
          <a:r>
            <a:rPr lang="en-CA" sz="1000">
              <a:latin typeface="Arial" panose="020B0604020202020204" pitchFamily="34" charset="0"/>
              <a:cs typeface="Arial" panose="020B0604020202020204" pitchFamily="34" charset="0"/>
            </a:rPr>
            <a:t>- click the Data ribbon ⯈ Refresh All</a:t>
          </a:r>
        </a:p>
        <a:p>
          <a:endParaRPr lang="en-CA" sz="1000">
            <a:latin typeface="Arial" panose="020B0604020202020204" pitchFamily="34" charset="0"/>
            <a:cs typeface="Arial" panose="020B0604020202020204" pitchFamily="34" charset="0"/>
          </a:endParaRPr>
        </a:p>
        <a:p>
          <a:r>
            <a:rPr lang="en-CA" sz="1000" b="1">
              <a:latin typeface="Arial" panose="020B0604020202020204" pitchFamily="34" charset="0"/>
              <a:cs typeface="Arial" panose="020B0604020202020204" pitchFamily="34" charset="0"/>
            </a:rPr>
            <a:t>To</a:t>
          </a:r>
          <a:r>
            <a:rPr lang="en-CA" sz="1000" b="1" baseline="0">
              <a:latin typeface="Arial" panose="020B0604020202020204" pitchFamily="34" charset="0"/>
              <a:cs typeface="Arial" panose="020B0604020202020204" pitchFamily="34" charset="0"/>
            </a:rPr>
            <a:t> enter a new row in this table manually (desktop or online):</a:t>
          </a:r>
          <a:r>
            <a:rPr lang="en-CA" sz="1000" baseline="0">
              <a:latin typeface="Arial" panose="020B0604020202020204" pitchFamily="34" charset="0"/>
              <a:cs typeface="Arial" panose="020B0604020202020204" pitchFamily="34" charset="0"/>
            </a:rPr>
            <a:t>     - enter text in the row immediately below the table;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in the bottom row of the table ⯈ Insert ⯈ Table Row Below </a:t>
          </a:r>
          <a:endParaRPr lang="en-CA" sz="1000">
            <a:latin typeface="Arial" panose="020B0604020202020204" pitchFamily="34" charset="0"/>
            <a:cs typeface="Arial" panose="020B0604020202020204" pitchFamily="34" charset="0"/>
          </a:endParaRPr>
        </a:p>
        <a:p>
          <a:endParaRPr lang="en-CA"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15876</xdr:rowOff>
    </xdr:from>
    <xdr:to>
      <xdr:col>0</xdr:col>
      <xdr:colOff>836083</xdr:colOff>
      <xdr:row>0</xdr:row>
      <xdr:rowOff>222250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9D4F7901-278A-7B3E-4C53-C17245491311}"/>
            </a:ext>
          </a:extLst>
        </xdr:cNvPr>
        <xdr:cNvSpPr txBox="1"/>
      </xdr:nvSpPr>
      <xdr:spPr>
        <a:xfrm>
          <a:off x="0" y="15876"/>
          <a:ext cx="836083" cy="206374"/>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b="1">
              <a:solidFill>
                <a:schemeClr val="bg1"/>
              </a:solidFill>
              <a:latin typeface="Arial" panose="020B0604020202020204" pitchFamily="34" charset="0"/>
              <a:cs typeface="Arial" panose="020B0604020202020204" pitchFamily="34" charset="0"/>
            </a:rPr>
            <a:t>FORMULAS</a:t>
          </a: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70</xdr:col>
      <xdr:colOff>287971</xdr:colOff>
      <xdr:row>0</xdr:row>
      <xdr:rowOff>53340</xdr:rowOff>
    </xdr:from>
    <xdr:to>
      <xdr:col>72</xdr:col>
      <xdr:colOff>168433</xdr:colOff>
      <xdr:row>0</xdr:row>
      <xdr:rowOff>246697</xdr:rowOff>
    </xdr:to>
    <xdr:sp macro="" textlink="">
      <xdr:nvSpPr>
        <xdr:cNvPr id="2" name="TextBox 1">
          <a:hlinkClick xmlns:r="http://schemas.openxmlformats.org/officeDocument/2006/relationships" r:id="rId1"/>
          <a:extLst>
            <a:ext uri="{FF2B5EF4-FFF2-40B4-BE49-F238E27FC236}">
              <a16:creationId xmlns:a16="http://schemas.microsoft.com/office/drawing/2014/main" id="{EF9BDF5C-21B2-A436-E5AD-4740ECB83C83}"/>
            </a:ext>
          </a:extLst>
        </xdr:cNvPr>
        <xdr:cNvSpPr txBox="1"/>
      </xdr:nvSpPr>
      <xdr:spPr>
        <a:xfrm>
          <a:off x="112641061" y="47625"/>
          <a:ext cx="1075532" cy="214312"/>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bg1"/>
              </a:solidFill>
              <a:latin typeface="Arial" panose="020B0604020202020204" pitchFamily="34" charset="0"/>
              <a:cs typeface="Arial" panose="020B0604020202020204" pitchFamily="34" charset="0"/>
            </a:rPr>
            <a:t>FULL OUTPUT</a:t>
          </a:r>
        </a:p>
      </xdr:txBody>
    </xdr:sp>
    <xdr:clientData/>
  </xdr:twoCellAnchor>
  <xdr:twoCellAnchor>
    <xdr:from>
      <xdr:col>67</xdr:col>
      <xdr:colOff>269875</xdr:colOff>
      <xdr:row>0</xdr:row>
      <xdr:rowOff>317501</xdr:rowOff>
    </xdr:from>
    <xdr:to>
      <xdr:col>72</xdr:col>
      <xdr:colOff>571500</xdr:colOff>
      <xdr:row>0</xdr:row>
      <xdr:rowOff>904875</xdr:rowOff>
    </xdr:to>
    <xdr:sp macro="" textlink="">
      <xdr:nvSpPr>
        <xdr:cNvPr id="3" name="TextBox 2">
          <a:extLst>
            <a:ext uri="{FF2B5EF4-FFF2-40B4-BE49-F238E27FC236}">
              <a16:creationId xmlns:a16="http://schemas.microsoft.com/office/drawing/2014/main" id="{9F32F731-84FA-E4BF-F71E-C0EABFBC655F}"/>
            </a:ext>
          </a:extLst>
        </xdr:cNvPr>
        <xdr:cNvSpPr txBox="1"/>
      </xdr:nvSpPr>
      <xdr:spPr>
        <a:xfrm>
          <a:off x="114458750" y="317501"/>
          <a:ext cx="3317875" cy="5873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a:latin typeface="Arial" panose="020B0604020202020204" pitchFamily="34" charset="0"/>
              <a:cs typeface="Arial" panose="020B0604020202020204" pitchFamily="34" charset="0"/>
            </a:rPr>
            <a:t>Copy-paste the formulas</a:t>
          </a:r>
          <a:r>
            <a:rPr lang="en-CA" sz="1000" b="0" baseline="0">
              <a:latin typeface="Arial" panose="020B0604020202020204" pitchFamily="34" charset="0"/>
              <a:cs typeface="Arial" panose="020B0604020202020204" pitchFamily="34" charset="0"/>
            </a:rPr>
            <a:t> on the right back into the appropriate columns on the Full Output tab, if needed.</a:t>
          </a:r>
          <a:endParaRPr lang="en-CA" sz="1000" b="0">
            <a:latin typeface="Arial" panose="020B0604020202020204" pitchFamily="34" charset="0"/>
            <a:cs typeface="Arial" panose="020B0604020202020204" pitchFamily="34" charset="0"/>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1" xr16:uid="{77810986-9F2F-4670-A973-631B7C7D9C7B}" autoFormatId="16" applyNumberFormats="0" applyBorderFormats="0" applyFontFormats="0" applyPatternFormats="0" applyAlignmentFormats="0" applyWidthHeightFormats="0">
  <queryTableRefresh nextId="5">
    <queryTableFields count="2">
      <queryTableField id="3" name="Year" tableColumnId="3"/>
      <queryTableField id="4" name="Index" tableColumnId="4"/>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CA855-6D51-438C-8ED0-814BF39BFC2B}" name="tbl_Stakeholders" displayName="tbl_Stakeholders" ref="B16:J17" insertRow="1" totalsRowShown="0" headerRowDxfId="86" dataDxfId="84" headerRowBorderDxfId="85" tableBorderDxfId="83" totalsRowBorderDxfId="82" headerRowCellStyle="Normal 2">
  <sortState xmlns:xlrd2="http://schemas.microsoft.com/office/spreadsheetml/2017/richdata2" ref="B16:J16">
    <sortCondition ref="B16"/>
  </sortState>
  <tableColumns count="9">
    <tableColumn id="1" xr3:uid="{920BEA18-267B-450E-A764-D1B1BCDCB6CA}" name="Stakeholder Group" dataDxfId="81" dataCellStyle="Normal 2"/>
    <tableColumn id="2" xr3:uid="{6DEF87FF-4018-4CCC-AA7B-48BB3AA83B4F}" name="Non-business Count" dataDxfId="80" dataCellStyle="Normal 2"/>
    <tableColumn id="3" xr3:uid="{C411DE19-DA82-4F13-82B7-F1B3F5C007D9}" name="Small Business Count" dataDxfId="79" dataCellStyle="Normal 2"/>
    <tableColumn id="4" xr3:uid="{2821D350-189F-488F-A5C0-B64868EE3E0B}" name="Med/Large Business Count" dataDxfId="78" dataCellStyle="Normal 2"/>
    <tableColumn id="5" xr3:uid="{BEE60A7C-1D51-4E0C-BAC8-E9A211B9898A}" name="Total Business Count" dataDxfId="77" dataCellStyle="Normal 2">
      <calculatedColumnFormula>tbl_Stakeholders[[#This Row],[Small Business Count]]+tbl_Stakeholders[[#This Row],[Med/Large Business Count]]</calculatedColumnFormula>
    </tableColumn>
    <tableColumn id="6" xr3:uid="{02F67F9E-27FC-4254-8917-E5A57077B350}" name="Total Stakeholder Count" dataDxfId="76" dataCellStyle="Normal 2">
      <calculatedColumnFormula>tbl_Stakeholders[[#This Row],[Total Business Count]]+tbl_Stakeholders[[#This Row],[Non-business Count]]</calculatedColumnFormula>
    </tableColumn>
    <tableColumn id="7" xr3:uid="{C4E5A3C2-5587-4C6A-B637-AF20A4EBC801}" name="Non-business Growth Rate" dataDxfId="75" dataCellStyle="Percent"/>
    <tableColumn id="8" xr3:uid="{AF02A1C2-038B-404C-B16D-B49AFC50CABB}" name="Small Business Growth Rate" dataDxfId="74" dataCellStyle="Percent"/>
    <tableColumn id="9" xr3:uid="{267A6211-159E-4F86-B38D-F1BD02AB00CA}" name="Med/Large Business Growth Rate" dataDxfId="73" dataCellStyle="Percen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EFDA80F-E24F-454C-88CC-3272A111FB96}" name="tbl_Activities" displayName="tbl_Activities" ref="B14:V15" insertRow="1" totalsRowShown="0" headerRowDxfId="69" dataDxfId="67" headerRowBorderDxfId="68" tableBorderDxfId="66" totalsRowBorderDxfId="65" headerRowCellStyle="Normal 2">
  <tableColumns count="21">
    <tableColumn id="1" xr3:uid="{65A099BC-738F-4CA0-85A2-8F4C8F82D830}" name="Activity" dataDxfId="64" dataCellStyle="Normal 2"/>
    <tableColumn id="2" xr3:uid="{2BE44DDF-2D28-448F-B936-D007FFA33384}" name="Administrative or Compliance" dataDxfId="63" dataCellStyle="Normal 2"/>
    <tableColumn id="3" xr3:uid="{1C632198-DE0B-4414-8650-8FE47D525F88}" name="In or Out" dataDxfId="62" dataCellStyle="Normal 2"/>
    <tableColumn id="4" xr3:uid="{0EDBD594-8489-4C44-9D96-F1ADEEBE0DBF}" name="Upfront or  Ongoing" dataDxfId="61" dataCellStyle="Normal 2"/>
    <tableColumn id="5" xr3:uid="{D1C308E2-BA3C-4525-B8CB-F4071E802FD6}" name="Start Year" dataDxfId="60" dataCellStyle="Normal 2"/>
    <tableColumn id="6" xr3:uid="{82BC7FDD-AB9E-44E9-82B3-C61093609B04}" name="End Year" dataDxfId="59" dataCellStyle="Normal 2"/>
    <tableColumn id="7" xr3:uid="{4613A8BF-D255-4AF4-83EE-F2CF2D752A38}" name="Affected Stakeholder Group" dataDxfId="58" dataCellStyle="Normal 2"/>
    <tableColumn id="8" xr3:uid="{4175C6BD-9CF3-4684-8984-D1801FD6D257}" name="Affected Stakeholder Type" dataDxfId="57" dataCellStyle="Normal 2"/>
    <tableColumn id="9" xr3:uid="{33B2DA87-38F9-46ED-ACF6-3FA9760927BC}" name="Percent Affected" dataDxfId="56"/>
    <tableColumn id="10" xr3:uid="{AC32CBFF-0012-4E5F-91A1-8B99F21311CB}" name="Apply to Existing Stakeholders" dataDxfId="55" dataCellStyle="Normal 2"/>
    <tableColumn id="11" xr3:uid="{C4E88C80-E17E-4F3D-9241-542D27B4CAD7}" name="Apply to New Entrants" dataDxfId="54" dataCellStyle="Normal 2"/>
    <tableColumn id="15" xr3:uid="{6844A7FD-391E-4057-939F-FCF18F6AA428}" name="Capital or Labour" dataDxfId="53" dataCellStyle="Comma"/>
    <tableColumn id="16" xr3:uid="{8F229652-99DE-4253-A024-A1F323856A06}" name="Capital: Number of Units" dataDxfId="52" dataCellStyle="Comma"/>
    <tableColumn id="17" xr3:uid="{BB41C012-479C-4840-B52C-496B641DD81E}" name="Capital: Unit Price" dataDxfId="51" dataCellStyle="Comma"/>
    <tableColumn id="18" xr3:uid="{2096BA5D-7391-4C33-A6F7-3AE237FF2546}" name="Capital: Price Year of Unit Price" dataDxfId="50" dataCellStyle="Comma"/>
    <tableColumn id="23" xr3:uid="{89B86BFE-2834-4E04-B671-5056B5F05212}" name="Annual Frequency" dataDxfId="49" dataCellStyle="Comma"/>
    <tableColumn id="22" xr3:uid="{76D19E14-9CED-42BB-9591-CCB81734D9AA}" name="Labour: Time Spent (hours)" dataDxfId="48" dataCellStyle="Comma"/>
    <tableColumn id="19" xr3:uid="{8BB445B7-7287-4EE8-A17F-0EB7CB9FF0D5}" name="Labour: Internal or External Overhead" dataDxfId="47" dataCellStyle="Comma"/>
    <tableColumn id="20" xr3:uid="{115F4724-1DC1-42A9-BE39-2FFAD4403AD2}" name="Labour: Staff Level (Wage Without Overhead)" dataDxfId="46" dataCellStyle="Comma"/>
    <tableColumn id="12" xr3:uid="{FF787A91-CF3E-4C57-A497-F051406D4F66}" name="Error Check" dataDxfId="45">
      <calculatedColumnFormula array="1">IF(Checkblank1=0, "One or more key parameter is missing for this activity. ", "")
&amp;IF(CheckAppliesToNoone=1, "This activity does not apply to existing stakeholders or new entrants. ", "")
&amp;IF(CheckNonBusiness=1, "All Non-Businesses were selected as the Affected Stakeholder Type, but there are no non-businesses for the Affected Stakeholder Group that has been selected. ", "")
&amp;IF(CheckSmall=1, "Small businesses were selected as the Affected Stakeholder Type, but there are no small businesses for the Affected Stakeholder Group that has been selected. ", "")
&amp;IF(CheckMedLarge=1, "Med/large businesses were selected as the Affected Stakeholder Type, but there are no med/large businesses for the Affected Stakeholder Group that has been selected. ", "")
&amp;IF(CheckStakeholders=0, "This stakeholder cannot be found on the 'Stakeholder Profile' tab. Re-select a stakeholder group from the drop-down menu. ", "")
&amp;IF(CheckStartEnd=1, "The start year is after the end year. ", "")
&amp;IF(CheckAdminCapital=1, "This activity is related to capital, so it should probably be classified as a compliance activity (not administrative). ", "")
&amp;IF(CheckUpfrontFreq=1, "Upfront activities are always modelled using a frequency of 1, so if you want to use a different frequency, consider using an ongoing activity. ", "")
&amp;IF(CheckWages=1, "Impact estimates use the updated wage on the Labour tab, which is not reflected here (re-select the wage to update this row). ", "")</calculatedColumnFormula>
    </tableColumn>
    <tableColumn id="13" xr3:uid="{52FC6E35-E9B5-4936-84ED-61D985E22842}" name="Assumptions/Notes" dataDxfId="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418AC1-E797-4E27-B023-6BA8F662E328}" name="tbl_Wages" displayName="tbl_Wages" ref="C14:F66" totalsRowShown="0" headerRowDxfId="18" dataDxfId="16" headerRowBorderDxfId="17" tableBorderDxfId="15" totalsRowBorderDxfId="14">
  <tableColumns count="4">
    <tableColumn id="1" xr3:uid="{20F5CDDD-338E-4621-9904-10A5A545C74E}" name="National Occupational Classification (NOC)" dataDxfId="13" dataCellStyle="Normal 2"/>
    <tableColumn id="2" xr3:uid="{D3390B37-54E8-41B2-AC1F-321DA8D5332A}" name="Price year of data source" dataDxfId="12" dataCellStyle="Normal 2"/>
    <tableColumn id="3" xr3:uid="{EDB81478-1C17-4622-92A5-1E9119F79F9B}" name="Wage in price year of data source (without overhead)" dataDxfId="11" dataCellStyle="Normal 2"/>
    <tableColumn id="4" xr3:uid="{9DE1072A-507C-4161-BC2C-B4FE4E367175}" name="Wage in price year of analysis (without overhead)" dataDxfId="10">
      <calculatedColumnFormula>IFERROR(tbl_Wages[[#This Row],[Wage in price year of data source (without overhead)]]*INDEX(tbl_CPI[Index], MATCH(PriceYear, tbl_CPI[Year], 0))/INDEX(tbl_CPI[Index], MATCH(tbl_Wages[[#This Row],[Price year of data source]], tbl_CPI[Year], 0)), "")</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474172-C901-47F7-80F1-48FFF028B333}" name="tbl_CPI" displayName="tbl_CPI" ref="C14:D36" tableType="queryTable" totalsRowShown="0" headerRowDxfId="9" dataDxfId="7" headerRowBorderDxfId="8" tableBorderDxfId="6" totalsRowBorderDxfId="5">
  <tableColumns count="2">
    <tableColumn id="3" xr3:uid="{DA62A898-12CF-4A60-9FEB-00B4385E3C16}" uniqueName="3" name="Year" queryTableFieldId="3" dataDxfId="4"/>
    <tableColumn id="4" xr3:uid="{268D9651-8A8A-453A-AE71-8F05FF58D1B0}" uniqueName="4" name="Index" queryTableFieldId="4" dataDxfId="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AEC4FD-E4F0-497B-8601-2428B9B853D0}" name="tbl_NumberWord" displayName="tbl_NumberWord" ref="P33:Q48" totalsRowShown="0">
  <autoFilter ref="P33:Q48" xr:uid="{74AEC4FD-E4F0-497B-8601-2428B9B853D0}"/>
  <tableColumns count="2">
    <tableColumn id="1" xr3:uid="{96838E15-E080-45F4-BEAA-156476B45F4D}" name="Numeral"/>
    <tableColumn id="2" xr3:uid="{CD793EF1-3190-4CEB-A4E9-9866DF5CAE86}" name="Word"/>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150.statcan.gc.ca/t1/tbl1/en/tv.action?pid=1410034001" TargetMode="External"/><Relationship Id="rId4"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150.statcan.gc.ca/t1/tbl1/en/tv.action?pid=1810000501" TargetMode="External"/><Relationship Id="rId4"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CF2E-FE4E-46B3-85F0-36F58E1AFCE7}">
  <sheetPr codeName="Sheet1">
    <tabColor theme="0"/>
  </sheetPr>
  <dimension ref="A1"/>
  <sheetViews>
    <sheetView showGridLines="0" tabSelected="1" zoomScale="80" zoomScaleNormal="80" workbookViewId="0"/>
  </sheetViews>
  <sheetFormatPr defaultRowHeight="14.4" x14ac:dyDescent="0.3"/>
  <cols>
    <col min="1" max="2" width="12.44140625" customWidth="1"/>
    <col min="3" max="6" width="12.88671875" customWidth="1"/>
    <col min="7" max="7" width="17.33203125" customWidth="1"/>
    <col min="8" max="8" width="15.109375" customWidth="1"/>
  </cols>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0717A-2511-4778-B6F8-EC4F3A4F1B5F}">
  <sheetPr codeName="Sheet2">
    <tabColor rgb="FF00B0F0"/>
  </sheetPr>
  <dimension ref="C2:D16"/>
  <sheetViews>
    <sheetView showGridLines="0" zoomScale="80" zoomScaleNormal="80" workbookViewId="0">
      <selection activeCell="D5" sqref="D5"/>
    </sheetView>
  </sheetViews>
  <sheetFormatPr defaultRowHeight="14.4" x14ac:dyDescent="0.3"/>
  <cols>
    <col min="1" max="1" width="3" customWidth="1"/>
    <col min="2" max="2" width="3.44140625" customWidth="1"/>
    <col min="3" max="3" width="45.33203125" customWidth="1"/>
    <col min="4" max="4" width="80" customWidth="1"/>
  </cols>
  <sheetData>
    <row r="2" spans="3:4" ht="15.6" x14ac:dyDescent="0.3">
      <c r="C2" s="12" t="s">
        <v>0</v>
      </c>
    </row>
    <row r="4" spans="3:4" x14ac:dyDescent="0.3">
      <c r="C4" s="29"/>
      <c r="D4" s="30"/>
    </row>
    <row r="5" spans="3:4" ht="31.5" customHeight="1" x14ac:dyDescent="0.3">
      <c r="C5" s="26" t="s">
        <v>1</v>
      </c>
      <c r="D5" s="23"/>
    </row>
    <row r="6" spans="3:4" x14ac:dyDescent="0.3">
      <c r="C6" s="26" t="s">
        <v>2</v>
      </c>
      <c r="D6" s="23" t="s">
        <v>3</v>
      </c>
    </row>
    <row r="7" spans="3:4" ht="31.5" customHeight="1" x14ac:dyDescent="0.3">
      <c r="C7" s="26" t="s">
        <v>4</v>
      </c>
      <c r="D7" s="23"/>
    </row>
    <row r="8" spans="3:4" ht="79.5" customHeight="1" x14ac:dyDescent="0.3">
      <c r="C8" s="27" t="s">
        <v>5</v>
      </c>
      <c r="D8" s="24"/>
    </row>
    <row r="9" spans="3:4" x14ac:dyDescent="0.3">
      <c r="C9" s="27" t="s">
        <v>6</v>
      </c>
      <c r="D9" s="53">
        <v>0</v>
      </c>
    </row>
    <row r="10" spans="3:4" x14ac:dyDescent="0.3">
      <c r="C10" s="27" t="s">
        <v>7</v>
      </c>
      <c r="D10" s="53" cm="1">
        <f t="array" ref="D10">Introduced_Formula</f>
        <v>0</v>
      </c>
    </row>
    <row r="11" spans="3:4" x14ac:dyDescent="0.3">
      <c r="C11" s="27" t="s">
        <v>8</v>
      </c>
      <c r="D11" s="23">
        <v>2023</v>
      </c>
    </row>
    <row r="12" spans="3:4" x14ac:dyDescent="0.3">
      <c r="C12" s="27" t="s">
        <v>9</v>
      </c>
      <c r="D12" s="23">
        <v>2024</v>
      </c>
    </row>
    <row r="13" spans="3:4" x14ac:dyDescent="0.3">
      <c r="C13" s="27" t="s">
        <v>10</v>
      </c>
      <c r="D13" s="23">
        <v>2024</v>
      </c>
    </row>
    <row r="14" spans="3:4" x14ac:dyDescent="0.3">
      <c r="C14" s="27" t="s">
        <v>11</v>
      </c>
      <c r="D14" s="23">
        <v>10</v>
      </c>
    </row>
    <row r="15" spans="3:4" x14ac:dyDescent="0.3">
      <c r="C15" s="28" t="s">
        <v>12</v>
      </c>
      <c r="D15" s="25">
        <v>7.0000000000000007E-2</v>
      </c>
    </row>
    <row r="16" spans="3:4" x14ac:dyDescent="0.3">
      <c r="D16" s="33" t="s">
        <v>13</v>
      </c>
    </row>
  </sheetData>
  <protectedRanges>
    <protectedRange password="CC6C" sqref="D6:D7" name="Range1_5"/>
    <protectedRange password="CC6C" sqref="D5" name="Range1_1_1_1"/>
    <protectedRange password="CC6C" sqref="D8" name="Range1_4_1_1"/>
  </protectedRanges>
  <phoneticPr fontId="3" type="noConversion"/>
  <conditionalFormatting sqref="D9">
    <cfRule type="expression" dxfId="87" priority="1">
      <formula>OR($D$6="Multiple Repeal and Replace (One New title)", $D$6="Repeal and Replace", $D$6="Repeal Only")</formula>
    </cfRule>
  </conditionalFormatting>
  <dataValidations xWindow="1240" yWindow="915" count="1">
    <dataValidation type="whole" allowBlank="1" showInputMessage="1" showErrorMessage="1" prompt="If no regulations are being repealed, leave this blank." sqref="D10" xr:uid="{5E382825-B765-448E-9B6A-2FF1AFD996A0}">
      <formula1>0</formula1>
      <formula2>10^6</formula2>
    </dataValidation>
  </dataValidations>
  <pageMargins left="0.7" right="0.7" top="0.75" bottom="0.75" header="0.3" footer="0.3"/>
  <pageSetup orientation="portrait" horizontalDpi="90" verticalDpi="90" r:id="rId1"/>
  <drawing r:id="rId2"/>
  <extLst>
    <ext xmlns:x14="http://schemas.microsoft.com/office/spreadsheetml/2009/9/main" uri="{CCE6A557-97BC-4b89-ADB6-D9C93CAAB3DF}">
      <x14:dataValidations xmlns:xm="http://schemas.microsoft.com/office/excel/2006/main" xWindow="1240" yWindow="915" count="7">
        <x14:dataValidation type="list" allowBlank="1" showInputMessage="1" showErrorMessage="1" prompt="This will be Year 1 of the analytical period." xr:uid="{BE5AB2D9-8F8F-472F-8C90-3E5FB1EDC04E}">
          <x14:formula1>
            <xm:f>_xlfn.ANCHORARRAY(Controls!$E$2)</xm:f>
          </x14:formula1>
          <xm:sqref>D12</xm:sqref>
        </x14:dataValidation>
        <x14:dataValidation type="list" allowBlank="1" showInputMessage="1" showErrorMessage="1" prompt="This does not affect the reported one-for-one rule values, since they are always calculated using 2012 as the present value base year." xr:uid="{C2FD05DC-7F1A-4AC2-B606-77B176BBD296}">
          <x14:formula1>
            <xm:f>_xlfn.ANCHORARRAY(Controls!$E$2)</xm:f>
          </x14:formula1>
          <xm:sqref>D13</xm:sqref>
        </x14:dataValidation>
        <x14:dataValidation type="list" allowBlank="1" showInputMessage="1" showErrorMessage="1" prompt="This does not affect the reported one-for-one rule values, since they are always calculated using a 10-year analytical period." xr:uid="{3EF8CE3B-2153-4707-A071-D71655D727B0}">
          <x14:formula1>
            <xm:f>_xlfn.ANCHORARRAY(Controls!$D$2)</xm:f>
          </x14:formula1>
          <xm:sqref>D14</xm:sqref>
        </x14:dataValidation>
        <x14:dataValidation type="list" allowBlank="1" showInputMessage="1" showErrorMessage="1" prompt="This does not affect the reported one-for-one rule values, since they are always calculated using a 7% discount rate." xr:uid="{7F07E6B8-F838-401E-B83E-E73A982859AC}">
          <x14:formula1>
            <xm:f>_xlfn.ANCHORARRAY(Controls!$C$2)</xm:f>
          </x14:formula1>
          <xm:sqref>D15</xm:sqref>
        </x14:dataValidation>
        <x14:dataValidation type="list" allowBlank="1" showInputMessage="1" showErrorMessage="1" prompt="This does not affect the reported one-for-one rule values, since they are always calculated using constant 2012 Canadian dollars." xr:uid="{FF34C5D6-2DF4-42FB-AC0A-C7243CF7A525}">
          <x14:formula1>
            <xm:f>_xlfn.ANCHORARRAY(Controls!$F$2)</xm:f>
          </x14:formula1>
          <xm:sqref>D11</xm:sqref>
        </x14:dataValidation>
        <x14:dataValidation type="list" allowBlank="1" showInputMessage="1" showErrorMessage="1" xr:uid="{E84C42EB-6E3A-47D6-82F2-0516BE5213EC}">
          <x14:formula1>
            <xm:f>Controls!$P$22:$P$26</xm:f>
          </x14:formula1>
          <xm:sqref>D6</xm:sqref>
        </x14:dataValidation>
        <x14:dataValidation type="list" showInputMessage="1" showErrorMessage="1" xr:uid="{503CBD6B-F650-450F-B1E0-C02162334656}">
          <x14:formula1>
            <xm:f>IF(D6=Controls!P22,List_Amendment_Repeal,IF(D6=Controls!P23,List_New_Regulation_Repeal,IF(D6=Controls!P24,List_Repeal_Only,(IF(D6=Controls!P25,List_Repeal_and_Replace_Repeal,TenCount)))))</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A19B-F3C3-4ECE-A6BD-C5CF30120828}">
  <sheetPr codeName="Sheet3">
    <tabColor rgb="FF00B0F0"/>
  </sheetPr>
  <dimension ref="A2:J18"/>
  <sheetViews>
    <sheetView showGridLines="0" zoomScale="80" zoomScaleNormal="80" workbookViewId="0">
      <selection activeCell="B17" sqref="B17"/>
    </sheetView>
  </sheetViews>
  <sheetFormatPr defaultColWidth="9.109375" defaultRowHeight="11.4" x14ac:dyDescent="0.3"/>
  <cols>
    <col min="1" max="1" width="12.33203125" style="176" customWidth="1"/>
    <col min="2" max="2" width="34.33203125" style="74" customWidth="1"/>
    <col min="3" max="3" width="28.88671875" style="74" customWidth="1"/>
    <col min="4" max="4" width="28.5546875" style="74" customWidth="1"/>
    <col min="5" max="5" width="30.44140625" style="74" customWidth="1"/>
    <col min="6" max="7" width="25.88671875" style="74" customWidth="1"/>
    <col min="8" max="8" width="20.88671875" style="74" customWidth="1"/>
    <col min="9" max="9" width="22.5546875" style="74" customWidth="1"/>
    <col min="10" max="10" width="23.6640625" style="74" customWidth="1"/>
    <col min="11" max="16384" width="9.109375" style="74"/>
  </cols>
  <sheetData>
    <row r="2" spans="1:10" ht="15.6" x14ac:dyDescent="0.3">
      <c r="B2" s="12" t="s">
        <v>14</v>
      </c>
    </row>
    <row r="3" spans="1:10" ht="12" x14ac:dyDescent="0.3">
      <c r="B3" s="71"/>
    </row>
    <row r="4" spans="1:10" ht="12" x14ac:dyDescent="0.3">
      <c r="B4" s="71"/>
    </row>
    <row r="5" spans="1:10" x14ac:dyDescent="0.2">
      <c r="B5" s="16"/>
      <c r="C5" s="16"/>
    </row>
    <row r="6" spans="1:10" x14ac:dyDescent="0.2">
      <c r="B6" s="16"/>
      <c r="C6" s="16"/>
    </row>
    <row r="7" spans="1:10" x14ac:dyDescent="0.2">
      <c r="B7" s="16"/>
      <c r="C7" s="16"/>
    </row>
    <row r="8" spans="1:10" x14ac:dyDescent="0.2">
      <c r="B8" s="16"/>
      <c r="C8" s="16"/>
    </row>
    <row r="9" spans="1:10" x14ac:dyDescent="0.2">
      <c r="B9" s="16"/>
      <c r="C9" s="16"/>
    </row>
    <row r="10" spans="1:10" x14ac:dyDescent="0.2">
      <c r="B10" s="16"/>
      <c r="C10" s="16"/>
    </row>
    <row r="11" spans="1:10" x14ac:dyDescent="0.2">
      <c r="B11" s="16"/>
      <c r="C11" s="16"/>
    </row>
    <row r="12" spans="1:10" x14ac:dyDescent="0.2">
      <c r="B12" s="16"/>
      <c r="C12" s="16"/>
    </row>
    <row r="13" spans="1:10" x14ac:dyDescent="0.2">
      <c r="B13" s="16"/>
      <c r="C13" s="16"/>
    </row>
    <row r="14" spans="1:10" x14ac:dyDescent="0.2">
      <c r="B14" s="16"/>
      <c r="C14" s="16"/>
    </row>
    <row r="15" spans="1:10" x14ac:dyDescent="0.2">
      <c r="B15" s="72"/>
    </row>
    <row r="16" spans="1:10" ht="39.75" customHeight="1" x14ac:dyDescent="0.3">
      <c r="A16" s="176" t="str" cm="1">
        <f t="array" ref="A16:A18">TypeHere_Stakeholders</f>
        <v/>
      </c>
      <c r="B16" s="54" t="s">
        <v>15</v>
      </c>
      <c r="C16" s="55" t="s">
        <v>16</v>
      </c>
      <c r="D16" s="55" t="s">
        <v>17</v>
      </c>
      <c r="E16" s="55" t="s">
        <v>18</v>
      </c>
      <c r="F16" s="55" t="s">
        <v>19</v>
      </c>
      <c r="G16" s="55" t="s">
        <v>20</v>
      </c>
      <c r="H16" s="55" t="s">
        <v>21</v>
      </c>
      <c r="I16" s="55" t="s">
        <v>22</v>
      </c>
      <c r="J16" s="57" t="s">
        <v>23</v>
      </c>
    </row>
    <row r="17" spans="1:10" x14ac:dyDescent="0.3">
      <c r="A17" s="176" t="str">
        <v>Type Here ⮚</v>
      </c>
      <c r="B17" s="58"/>
      <c r="C17" s="59"/>
      <c r="D17" s="59"/>
      <c r="E17" s="59"/>
      <c r="F17" s="73"/>
      <c r="G17" s="73"/>
      <c r="H17" s="150"/>
      <c r="I17" s="150"/>
      <c r="J17" s="150"/>
    </row>
    <row r="18" spans="1:10" x14ac:dyDescent="0.3">
      <c r="A18" s="176" t="str">
        <v/>
      </c>
    </row>
  </sheetData>
  <dataValidations count="2">
    <dataValidation type="decimal" allowBlank="1" showInputMessage="1" showErrorMessage="1" sqref="H17" xr:uid="{FC001DF2-60A0-4AD8-8652-146EA747ABE4}">
      <formula1>-0.99</formula1>
      <formula2>1</formula2>
    </dataValidation>
    <dataValidation allowBlank="1" showInputMessage="1" showErrorMessage="1" prompt="Use a unique name for each stakeholder group." sqref="B17" xr:uid="{701BCC3B-E461-4FB3-83D3-4549C0ADC67D}"/>
  </dataValidations>
  <pageMargins left="0.7" right="0.7" top="0.75" bottom="0.75" header="0.3" footer="0.3"/>
  <pageSetup orientation="portrait" horizontalDpi="90" verticalDpi="9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C8E2-CF38-4C53-88EF-FF2FE9CC6F54}">
  <sheetPr codeName="Sheet4">
    <tabColor rgb="FF00B0F0"/>
    <pageSetUpPr autoPageBreaks="0"/>
  </sheetPr>
  <dimension ref="A2:V16"/>
  <sheetViews>
    <sheetView showGridLines="0" zoomScale="80" zoomScaleNormal="80" zoomScaleSheetLayoutView="50" workbookViewId="0">
      <selection activeCell="B15" sqref="B15"/>
    </sheetView>
  </sheetViews>
  <sheetFormatPr defaultColWidth="9.109375" defaultRowHeight="11.4" outlineLevelCol="1" x14ac:dyDescent="0.2"/>
  <cols>
    <col min="1" max="1" width="11.33203125" style="13" customWidth="1" outlineLevel="1"/>
    <col min="2" max="2" width="23.109375" style="38" customWidth="1"/>
    <col min="3" max="3" width="15.6640625" style="38" customWidth="1"/>
    <col min="4" max="4" width="6.109375" style="38" customWidth="1"/>
    <col min="5" max="5" width="10.109375" style="38" customWidth="1"/>
    <col min="6" max="6" width="21.88671875" style="38" customWidth="1"/>
    <col min="7" max="7" width="20.5546875" style="38" customWidth="1"/>
    <col min="8" max="8" width="13.109375" style="38" customWidth="1"/>
    <col min="9" max="9" width="13.44140625" style="38" customWidth="1"/>
    <col min="10" max="10" width="10.109375" style="38" customWidth="1"/>
    <col min="11" max="11" width="16.5546875" style="38" customWidth="1"/>
    <col min="12" max="12" width="10.109375" style="38" customWidth="1"/>
    <col min="13" max="14" width="8.6640625" style="38" customWidth="1"/>
    <col min="15" max="15" width="9.5546875" style="38" customWidth="1"/>
    <col min="16" max="16" width="11.6640625" style="38" customWidth="1"/>
    <col min="17" max="17" width="12.109375" style="38" customWidth="1"/>
    <col min="18" max="18" width="10" style="38" customWidth="1"/>
    <col min="19" max="19" width="12.33203125" style="38" customWidth="1"/>
    <col min="20" max="20" width="48.6640625" style="38" customWidth="1"/>
    <col min="21" max="21" width="53" style="47" customWidth="1" outlineLevel="1"/>
    <col min="22" max="22" width="21" style="38" customWidth="1" outlineLevel="1"/>
    <col min="23" max="16384" width="9.109375" style="38"/>
  </cols>
  <sheetData>
    <row r="2" spans="1:22" ht="15.6" x14ac:dyDescent="0.3">
      <c r="B2" s="39" t="s">
        <v>24</v>
      </c>
      <c r="N2" s="61"/>
    </row>
    <row r="3" spans="1:22" ht="12" x14ac:dyDescent="0.25">
      <c r="B3" s="40"/>
      <c r="N3" s="61"/>
    </row>
    <row r="4" spans="1:22" ht="14.4" x14ac:dyDescent="0.3">
      <c r="B4" s="40"/>
      <c r="I4"/>
      <c r="N4" s="61"/>
    </row>
    <row r="5" spans="1:22" ht="12" x14ac:dyDescent="0.2">
      <c r="N5" s="61"/>
      <c r="T5" s="60"/>
    </row>
    <row r="6" spans="1:22" ht="12" x14ac:dyDescent="0.2">
      <c r="N6" s="61"/>
      <c r="T6" s="60"/>
    </row>
    <row r="7" spans="1:22" ht="12" x14ac:dyDescent="0.2">
      <c r="N7" s="61"/>
      <c r="T7" s="60"/>
    </row>
    <row r="8" spans="1:22" ht="12" x14ac:dyDescent="0.2">
      <c r="N8" s="61"/>
      <c r="T8" s="60"/>
    </row>
    <row r="9" spans="1:22" ht="12" x14ac:dyDescent="0.2">
      <c r="N9" s="61"/>
      <c r="T9" s="60"/>
    </row>
    <row r="10" spans="1:22" ht="12" x14ac:dyDescent="0.2">
      <c r="N10" s="61"/>
      <c r="T10" s="60"/>
    </row>
    <row r="11" spans="1:22" ht="12" x14ac:dyDescent="0.2">
      <c r="N11" s="61"/>
      <c r="T11" s="60"/>
    </row>
    <row r="12" spans="1:22" ht="12" x14ac:dyDescent="0.2">
      <c r="N12" s="61"/>
      <c r="T12" s="60"/>
    </row>
    <row r="13" spans="1:22" ht="12" x14ac:dyDescent="0.2">
      <c r="B13" s="62"/>
      <c r="N13" s="61"/>
      <c r="T13" s="60"/>
    </row>
    <row r="14" spans="1:22" ht="48" x14ac:dyDescent="0.2">
      <c r="A14" s="146" t="str" cm="1">
        <f t="array" ref="A14:A16">TypeHere_Activities</f>
        <v/>
      </c>
      <c r="B14" s="54" t="s">
        <v>25</v>
      </c>
      <c r="C14" s="55" t="s">
        <v>26</v>
      </c>
      <c r="D14" s="55" t="s">
        <v>27</v>
      </c>
      <c r="E14" s="55" t="s">
        <v>28</v>
      </c>
      <c r="F14" s="55" t="s">
        <v>29</v>
      </c>
      <c r="G14" s="55" t="s">
        <v>30</v>
      </c>
      <c r="H14" s="55" t="s">
        <v>31</v>
      </c>
      <c r="I14" s="55" t="s">
        <v>32</v>
      </c>
      <c r="J14" s="56" t="s">
        <v>33</v>
      </c>
      <c r="K14" s="55" t="s">
        <v>34</v>
      </c>
      <c r="L14" s="55" t="s">
        <v>35</v>
      </c>
      <c r="M14" s="55" t="s">
        <v>36</v>
      </c>
      <c r="N14" s="55" t="s">
        <v>37</v>
      </c>
      <c r="O14" s="55" t="s">
        <v>38</v>
      </c>
      <c r="P14" s="55" t="s">
        <v>39</v>
      </c>
      <c r="Q14" s="55" t="s">
        <v>40</v>
      </c>
      <c r="R14" s="55" t="s">
        <v>41</v>
      </c>
      <c r="S14" s="55" t="s">
        <v>42</v>
      </c>
      <c r="T14" s="55" t="s">
        <v>43</v>
      </c>
      <c r="U14" s="55" t="s">
        <v>303</v>
      </c>
      <c r="V14" s="57" t="s">
        <v>302</v>
      </c>
    </row>
    <row r="15" spans="1:22" x14ac:dyDescent="0.2">
      <c r="A15" s="13" t="str">
        <v>Type Here ⮚</v>
      </c>
      <c r="B15" s="168"/>
      <c r="C15" s="165"/>
      <c r="D15" s="165"/>
      <c r="E15" s="165"/>
      <c r="F15" s="166"/>
      <c r="G15" s="166"/>
      <c r="H15" s="165"/>
      <c r="I15" s="165"/>
      <c r="J15" s="167"/>
      <c r="K15" s="165"/>
      <c r="L15" s="165"/>
      <c r="M15" s="158"/>
      <c r="N15" s="159"/>
      <c r="O15" s="160"/>
      <c r="P15" s="159"/>
      <c r="Q15" s="180"/>
      <c r="R15" s="161"/>
      <c r="S15" s="158"/>
      <c r="T15" s="158"/>
      <c r="U15" s="181"/>
      <c r="V15" s="182"/>
    </row>
    <row r="16" spans="1:22" x14ac:dyDescent="0.2">
      <c r="A16" s="13" t="str">
        <v/>
      </c>
    </row>
  </sheetData>
  <phoneticPr fontId="3" type="noConversion"/>
  <conditionalFormatting sqref="N15:P15">
    <cfRule type="expression" dxfId="72" priority="3">
      <formula>$M15="Capital"</formula>
    </cfRule>
  </conditionalFormatting>
  <conditionalFormatting sqref="R15:T15">
    <cfRule type="expression" dxfId="71" priority="2">
      <formula>$M15="Capital"</formula>
    </cfRule>
  </conditionalFormatting>
  <conditionalFormatting sqref="U15">
    <cfRule type="notContainsBlanks" dxfId="70" priority="166">
      <formula>LEN(TRIM(U15))&gt;0</formula>
    </cfRule>
  </conditionalFormatting>
  <dataValidations xWindow="190" yWindow="821" count="8">
    <dataValidation type="list" allowBlank="1" showInputMessage="1" showErrorMessage="1" sqref="E15" xr:uid="{10EB447A-7356-4D95-8F03-93CED0476542}">
      <formula1>"Upfront, Ongoing"</formula1>
    </dataValidation>
    <dataValidation type="list" allowBlank="1" showInputMessage="1" showErrorMessage="1" prompt="For the small business lens, OUTs are reported as Benefits and INs are reported as Costs. " sqref="D15" xr:uid="{7DF99CAC-C3E2-4152-B484-588A5EFD50BC}">
      <formula1>"In, Out"</formula1>
    </dataValidation>
    <dataValidation type="list" allowBlank="1" showInputMessage="1" showErrorMessage="1" sqref="C15" xr:uid="{6D18D606-7EB3-45EC-B5F4-7651F91E3AAD}">
      <formula1>"Administrative, Compliance"</formula1>
    </dataValidation>
    <dataValidation type="list" allowBlank="1" showInputMessage="1" showErrorMessage="1" sqref="I15" xr:uid="{073C2485-0069-42BF-8516-8E53D6673F35}">
      <formula1>"Small Businesses, Med/Large Businesses, All Businesses, All Non-Businesses, All Types"</formula1>
    </dataValidation>
    <dataValidation type="list" allowBlank="1" showInputMessage="1" showErrorMessage="1" prompt="Administrative activities can only involve labour._x000a_Compliance activities can involve capital or labour. " sqref="M15" xr:uid="{8052E660-D0A7-40D3-9C45-B4D4B63A3870}">
      <formula1>"Capital, Labour"</formula1>
    </dataValidation>
    <dataValidation type="list" allowBlank="1" showInputMessage="1" showErrorMessage="1" sqref="K15:L15" xr:uid="{DAD4D4F3-8788-4BC7-B203-F891E6F59D13}">
      <formula1>"TRUE, FALSE"</formula1>
    </dataValidation>
    <dataValidation type="decimal" allowBlank="1" showInputMessage="1" showErrorMessage="1" sqref="J15" xr:uid="{5997C597-FBC5-46E8-BA67-C1A0470B6A4E}">
      <formula1>0</formula1>
      <formula2>1</formula2>
    </dataValidation>
    <dataValidation type="list" allowBlank="1" showInputMessage="1" showErrorMessage="1" prompt="If this column is blank, no overhead will be added to the wage." sqref="S15" xr:uid="{15BDCB30-5FC1-4659-921B-BB506475DB2B}">
      <formula1>"Internal (25%), External (50%)"</formula1>
    </dataValidation>
  </dataValidations>
  <pageMargins left="0.7" right="0.7" top="0.75" bottom="0.75" header="0.3" footer="0.3"/>
  <pageSetup orientation="portrait" horizontalDpi="90" verticalDpi="90" r:id="rId1"/>
  <drawing r:id="rId2"/>
  <tableParts count="1">
    <tablePart r:id="rId3"/>
  </tableParts>
  <extLst>
    <ext xmlns:x14="http://schemas.microsoft.com/office/spreadsheetml/2009/9/main" uri="{CCE6A557-97BC-4b89-ADB6-D9C93CAAB3DF}">
      <x14:dataValidations xmlns:xm="http://schemas.microsoft.com/office/excel/2006/main" xWindow="190" yWindow="821" count="5">
        <x14:dataValidation type="list" allowBlank="1" showInputMessage="1" showErrorMessage="1" xr:uid="{8C4F9113-03F2-44B8-BCA3-3E9A36D16129}">
          <x14:formula1>
            <xm:f>_xlfn.ANCHORARRAY(Controls!$B$2)</xm:f>
          </x14:formula1>
          <xm:sqref>H15</xm:sqref>
        </x14:dataValidation>
        <x14:dataValidation type="list" allowBlank="1" showInputMessage="1" showErrorMessage="1" xr:uid="{DB17DD4F-D3F5-4C1D-AD86-B0968D6AAD89}">
          <x14:formula1>
            <xm:f>_xlfn.ANCHORARRAY(Controls!$F$2)</xm:f>
          </x14:formula1>
          <xm:sqref>P15</xm:sqref>
        </x14:dataValidation>
        <x14:dataValidation type="list" allowBlank="1" showInputMessage="1" prompt="Enter custom wages on Labour tab, then they will appear in this list." xr:uid="{7A852EC0-CCC4-4D21-ADA8-780D123360F9}">
          <x14:formula1>
            <xm:f>_xlfn.ANCHORARRAY(Controls!$I$2)</xm:f>
          </x14:formula1>
          <xm:sqref>T15</xm:sqref>
        </x14:dataValidation>
        <x14:dataValidation type="list" allowBlank="1" showInputMessage="1" showErrorMessage="1" prompt="Choose a value less than or equal to the End Year of this activity" xr:uid="{6D6570A0-D7E6-471C-8E4A-F47512768C63}">
          <x14:formula1>
            <xm:f>_xlfn.ANCHORARRAY(Controls!$G$2)</xm:f>
          </x14:formula1>
          <xm:sqref>F15</xm:sqref>
        </x14:dataValidation>
        <x14:dataValidation type="list" allowBlank="1" showInputMessage="1" showErrorMessage="1" prompt="Choose a value greater than or equal to the Start Year of this activity" xr:uid="{2C84FDB9-177E-4EF1-8D45-36DBB7C69749}">
          <x14:formula1>
            <xm:f>_xlfn.ANCHORARRAY(Controls!$G$2)</xm:f>
          </x14:formula1>
          <xm:sqref>G15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CB004-082C-4AE4-AD0D-7A2FC514A788}">
  <sheetPr codeName="Sheet6">
    <tabColor rgb="FF92D050"/>
  </sheetPr>
  <dimension ref="B2:N47"/>
  <sheetViews>
    <sheetView showGridLines="0" zoomScale="80" zoomScaleNormal="80" workbookViewId="0">
      <selection activeCell="C17" sqref="C17"/>
    </sheetView>
  </sheetViews>
  <sheetFormatPr defaultColWidth="9.109375" defaultRowHeight="11.4" x14ac:dyDescent="0.2"/>
  <cols>
    <col min="1" max="1" width="4" style="16" customWidth="1"/>
    <col min="2" max="2" width="90.5546875" style="22" customWidth="1"/>
    <col min="3" max="14" width="15.88671875" style="16" customWidth="1"/>
    <col min="15" max="15" width="16.109375" style="16" customWidth="1"/>
    <col min="16" max="16" width="19.5546875" style="16" customWidth="1"/>
    <col min="17" max="16384" width="9.109375" style="16"/>
  </cols>
  <sheetData>
    <row r="2" spans="2:3" ht="15.6" x14ac:dyDescent="0.3">
      <c r="B2" s="39" t="s">
        <v>45</v>
      </c>
    </row>
    <row r="3" spans="2:3" ht="12" x14ac:dyDescent="0.25">
      <c r="B3" s="40"/>
    </row>
    <row r="4" spans="2:3" ht="12" x14ac:dyDescent="0.25">
      <c r="B4" s="40"/>
    </row>
    <row r="5" spans="2:3" ht="12" x14ac:dyDescent="0.2">
      <c r="B5" s="34" t="s">
        <v>46</v>
      </c>
    </row>
    <row r="6" spans="2:3" x14ac:dyDescent="0.2">
      <c r="B6" s="122" t="s">
        <v>47</v>
      </c>
      <c r="C6" s="123">
        <f>SUM(tbl_Stakeholders[Total Business Count])</f>
        <v>0</v>
      </c>
    </row>
    <row r="7" spans="2:3" x14ac:dyDescent="0.2">
      <c r="B7" s="124" t="s">
        <v>48</v>
      </c>
      <c r="C7" s="125" t="str">
        <f>"10 ("&amp;YearOfRegistration&amp;" to "&amp;YearOfRegistration+10-1&amp;")"</f>
        <v>10 (2024 to 2033)</v>
      </c>
    </row>
    <row r="8" spans="2:3" x14ac:dyDescent="0.2">
      <c r="B8" s="124" t="s">
        <v>49</v>
      </c>
      <c r="C8" s="125">
        <v>2012</v>
      </c>
    </row>
    <row r="9" spans="2:3" x14ac:dyDescent="0.2">
      <c r="B9" s="124" t="s">
        <v>50</v>
      </c>
      <c r="C9" s="126">
        <v>7.0000000000000007E-2</v>
      </c>
    </row>
    <row r="10" spans="2:3" x14ac:dyDescent="0.2">
      <c r="B10" s="127" t="s">
        <v>51</v>
      </c>
      <c r="C10" s="128">
        <v>2012</v>
      </c>
    </row>
    <row r="11" spans="2:3" ht="12" x14ac:dyDescent="0.25">
      <c r="B11" s="41"/>
      <c r="C11" s="35"/>
    </row>
    <row r="12" spans="2:3" ht="12" x14ac:dyDescent="0.25">
      <c r="B12" s="41"/>
      <c r="C12" s="35"/>
    </row>
    <row r="13" spans="2:3" ht="12" x14ac:dyDescent="0.25">
      <c r="B13" s="41"/>
      <c r="C13" s="35"/>
    </row>
    <row r="14" spans="2:3" ht="12" x14ac:dyDescent="0.2">
      <c r="B14" s="34" t="s">
        <v>52</v>
      </c>
      <c r="C14" s="35"/>
    </row>
    <row r="15" spans="2:3" x14ac:dyDescent="0.2">
      <c r="B15" s="75" t="s">
        <v>53</v>
      </c>
      <c r="C15" s="78">
        <f>$M$47</f>
        <v>0</v>
      </c>
    </row>
    <row r="16" spans="2:3" x14ac:dyDescent="0.2">
      <c r="B16" s="76" t="s">
        <v>54</v>
      </c>
      <c r="C16" s="79">
        <f>IFERROR($C$15/$C$6, 0)</f>
        <v>0</v>
      </c>
    </row>
    <row r="17" spans="2:14" ht="12" x14ac:dyDescent="0.25">
      <c r="B17" s="76" t="s">
        <v>55</v>
      </c>
      <c r="C17" s="169">
        <f>$C$15*AF_7_10</f>
        <v>0</v>
      </c>
    </row>
    <row r="18" spans="2:14" x14ac:dyDescent="0.2">
      <c r="B18" s="77" t="s">
        <v>56</v>
      </c>
      <c r="C18" s="80">
        <f>IFERROR($C$17/$C$6, 0)</f>
        <v>0</v>
      </c>
    </row>
    <row r="19" spans="2:14" x14ac:dyDescent="0.2">
      <c r="B19" s="36" t="s">
        <v>57</v>
      </c>
    </row>
    <row r="20" spans="2:14" x14ac:dyDescent="0.2">
      <c r="B20" s="42"/>
    </row>
    <row r="21" spans="2:14" x14ac:dyDescent="0.2">
      <c r="B21" s="42"/>
    </row>
    <row r="22" spans="2:14" x14ac:dyDescent="0.2">
      <c r="B22" s="42"/>
    </row>
    <row r="23" spans="2:14" ht="22.8" x14ac:dyDescent="0.4">
      <c r="B23" s="148" t="s">
        <v>58</v>
      </c>
    </row>
    <row r="24" spans="2:14" ht="316.5" customHeight="1" x14ac:dyDescent="0.2">
      <c r="B24" s="151" t="str">
        <f>OneforOneText</f>
        <v>The one-for-one rule does not apply as there is no impact on business.</v>
      </c>
      <c r="C24" s="130"/>
      <c r="D24" s="131"/>
      <c r="E24" s="131"/>
    </row>
    <row r="26" spans="2:14" ht="12" x14ac:dyDescent="0.2">
      <c r="B26" s="37" t="s">
        <v>59</v>
      </c>
    </row>
    <row r="27" spans="2:14" ht="12" x14ac:dyDescent="0.2">
      <c r="B27" s="37"/>
    </row>
    <row r="28" spans="2:14" ht="12" x14ac:dyDescent="0.2">
      <c r="B28" s="34" t="s">
        <v>60</v>
      </c>
    </row>
    <row r="29" spans="2:14" ht="12" x14ac:dyDescent="0.25">
      <c r="B29" s="43" t="s">
        <v>61</v>
      </c>
      <c r="C29" s="10" cm="1">
        <f t="array" ref="C29:L29">_xlfn.SEQUENCE(,10, YearOfRegistration)</f>
        <v>2024</v>
      </c>
      <c r="D29" s="10">
        <v>2025</v>
      </c>
      <c r="E29" s="10">
        <v>2026</v>
      </c>
      <c r="F29" s="10">
        <v>2027</v>
      </c>
      <c r="G29" s="10">
        <v>2028</v>
      </c>
      <c r="H29" s="10">
        <v>2029</v>
      </c>
      <c r="I29" s="10">
        <v>2030</v>
      </c>
      <c r="J29" s="10">
        <v>2031</v>
      </c>
      <c r="K29" s="10">
        <v>2032</v>
      </c>
      <c r="L29" s="10">
        <v>2033</v>
      </c>
      <c r="M29" s="9" t="s">
        <v>62</v>
      </c>
      <c r="N29" s="9" t="s">
        <v>63</v>
      </c>
    </row>
    <row r="30" spans="2:14" x14ac:dyDescent="0.2">
      <c r="B30" s="44" t="str">
        <f>"Undiscounted Impacts ("&amp;PriceYear&amp;" price year)"</f>
        <v>Undiscounted Impacts (2023 price year)</v>
      </c>
      <c r="C30" s="11" cm="1">
        <f t="array" ref="C30:L30">SUMIFS(_xlfn.ANCHORARRAY('Full Output'!Q2),_xlfn.ANCHORARRAY( 'Full Output'!C2), "Administrative",_xlfn.ANCHORARRAY( 'Full Output'!D2), "In",_xlfn.ANCHORARRAY( 'Full Output'!E2),_xlfn.ANCHORARRAY( C29))</f>
        <v>0</v>
      </c>
      <c r="D30" s="11">
        <v>0</v>
      </c>
      <c r="E30" s="11">
        <v>0</v>
      </c>
      <c r="F30" s="11">
        <v>0</v>
      </c>
      <c r="G30" s="11">
        <v>0</v>
      </c>
      <c r="H30" s="11">
        <v>0</v>
      </c>
      <c r="I30" s="11">
        <v>0</v>
      </c>
      <c r="J30" s="11">
        <v>0</v>
      </c>
      <c r="K30" s="11">
        <v>0</v>
      </c>
      <c r="L30" s="11">
        <v>0</v>
      </c>
      <c r="M30" s="11">
        <f>SUM(_xlfn.ANCHORARRAY(C30))</f>
        <v>0</v>
      </c>
      <c r="N30" s="11" t="s">
        <v>64</v>
      </c>
    </row>
    <row r="31" spans="2:14" x14ac:dyDescent="0.2">
      <c r="B31" s="44" t="str">
        <f>"Discounted Impacts ("&amp;PriceYear&amp;" price year, 7% discount rate, "&amp;PVBaseYear&amp; " discount base year)"</f>
        <v>Discounted Impacts (2023 price year, 7% discount rate, 2024 discount base year)</v>
      </c>
      <c r="C31" s="11" cm="1">
        <f t="array" ref="C31:L31">SUMIFS(_xlfn.ANCHORARRAY('Full Output'!X2),_xlfn.ANCHORARRAY( 'Full Output'!D2), "In",_xlfn.ANCHORARRAY( 'Full Output'!E2),_xlfn.ANCHORARRAY( C29))</f>
        <v>0</v>
      </c>
      <c r="D31" s="11">
        <v>0</v>
      </c>
      <c r="E31" s="11">
        <v>0</v>
      </c>
      <c r="F31" s="11">
        <v>0</v>
      </c>
      <c r="G31" s="11">
        <v>0</v>
      </c>
      <c r="H31" s="11">
        <v>0</v>
      </c>
      <c r="I31" s="11">
        <v>0</v>
      </c>
      <c r="J31" s="11">
        <v>0</v>
      </c>
      <c r="K31" s="11">
        <v>0</v>
      </c>
      <c r="L31" s="11">
        <v>0</v>
      </c>
      <c r="M31" s="11">
        <f>SUM(_xlfn.ANCHORARRAY(C31))</f>
        <v>0</v>
      </c>
      <c r="N31" s="11">
        <f>M31*AF_7_10</f>
        <v>0</v>
      </c>
    </row>
    <row r="32" spans="2:14" x14ac:dyDescent="0.2">
      <c r="B32" s="44" t="s">
        <v>65</v>
      </c>
      <c r="C32" s="11" cm="1">
        <f t="array" ref="C32:L32">_xlfn.ANCHORARRAY(C30)*OneforOne_CPI_Conversion</f>
        <v>0</v>
      </c>
      <c r="D32" s="11">
        <v>0</v>
      </c>
      <c r="E32" s="11">
        <v>0</v>
      </c>
      <c r="F32" s="11">
        <v>0</v>
      </c>
      <c r="G32" s="11">
        <v>0</v>
      </c>
      <c r="H32" s="11">
        <v>0</v>
      </c>
      <c r="I32" s="11">
        <v>0</v>
      </c>
      <c r="J32" s="11">
        <v>0</v>
      </c>
      <c r="K32" s="11">
        <v>0</v>
      </c>
      <c r="L32" s="11">
        <v>0</v>
      </c>
      <c r="M32" s="11">
        <f>SUM(_xlfn.ANCHORARRAY(C32))</f>
        <v>0</v>
      </c>
      <c r="N32" s="11" t="s">
        <v>64</v>
      </c>
    </row>
    <row r="33" spans="2:14" x14ac:dyDescent="0.2">
      <c r="B33" s="44" t="s">
        <v>66</v>
      </c>
      <c r="C33" s="11" cm="1">
        <f t="array" ref="C33:L33">_xlfn.ANCHORARRAY(C31)*OneforOne_CPI_Conversion/(1.07)^Years_since_2012</f>
        <v>0</v>
      </c>
      <c r="D33" s="11">
        <v>0</v>
      </c>
      <c r="E33" s="11">
        <v>0</v>
      </c>
      <c r="F33" s="11">
        <v>0</v>
      </c>
      <c r="G33" s="11">
        <v>0</v>
      </c>
      <c r="H33" s="11">
        <v>0</v>
      </c>
      <c r="I33" s="11">
        <v>0</v>
      </c>
      <c r="J33" s="11">
        <v>0</v>
      </c>
      <c r="K33" s="11">
        <v>0</v>
      </c>
      <c r="L33" s="11">
        <v>0</v>
      </c>
      <c r="M33" s="11">
        <f>SUM(_xlfn.ANCHORARRAY(C33))</f>
        <v>0</v>
      </c>
      <c r="N33" s="11">
        <f>M33*AF_7_10</f>
        <v>0</v>
      </c>
    </row>
    <row r="34" spans="2:14" x14ac:dyDescent="0.2">
      <c r="B34" s="38"/>
    </row>
    <row r="35" spans="2:14" ht="12" x14ac:dyDescent="0.2">
      <c r="B35" s="34" t="s">
        <v>67</v>
      </c>
    </row>
    <row r="36" spans="2:14" ht="12" x14ac:dyDescent="0.25">
      <c r="B36" s="43" t="s">
        <v>61</v>
      </c>
      <c r="C36" s="10" cm="1">
        <f t="array" ref="C36:L36">_xlfn.SEQUENCE(,10, YearOfRegistration)</f>
        <v>2024</v>
      </c>
      <c r="D36" s="10">
        <v>2025</v>
      </c>
      <c r="E36" s="10">
        <v>2026</v>
      </c>
      <c r="F36" s="10">
        <v>2027</v>
      </c>
      <c r="G36" s="10">
        <v>2028</v>
      </c>
      <c r="H36" s="10">
        <v>2029</v>
      </c>
      <c r="I36" s="10">
        <v>2030</v>
      </c>
      <c r="J36" s="10">
        <v>2031</v>
      </c>
      <c r="K36" s="10">
        <v>2032</v>
      </c>
      <c r="L36" s="10">
        <v>2033</v>
      </c>
      <c r="M36" s="9" t="s">
        <v>62</v>
      </c>
      <c r="N36" s="9" t="s">
        <v>63</v>
      </c>
    </row>
    <row r="37" spans="2:14" x14ac:dyDescent="0.2">
      <c r="B37" s="44" t="str">
        <f>"Undiscounted Impacts ("&amp;PriceYear&amp;" price year)"</f>
        <v>Undiscounted Impacts (2023 price year)</v>
      </c>
      <c r="C37" s="11" cm="1">
        <f t="array" ref="C37:L37">-SUMIFS(_xlfn.ANCHORARRAY('Full Output'!Q2),_xlfn.ANCHORARRAY( 'Full Output'!C2), "Administrative",_xlfn.ANCHORARRAY( 'Full Output'!D2), "Out",_xlfn.ANCHORARRAY( 'Full Output'!E2),_xlfn.ANCHORARRAY( C36))</f>
        <v>0</v>
      </c>
      <c r="D37" s="11">
        <v>0</v>
      </c>
      <c r="E37" s="11">
        <v>0</v>
      </c>
      <c r="F37" s="11">
        <v>0</v>
      </c>
      <c r="G37" s="11">
        <v>0</v>
      </c>
      <c r="H37" s="11">
        <v>0</v>
      </c>
      <c r="I37" s="11">
        <v>0</v>
      </c>
      <c r="J37" s="11">
        <v>0</v>
      </c>
      <c r="K37" s="11">
        <v>0</v>
      </c>
      <c r="L37" s="11">
        <v>0</v>
      </c>
      <c r="M37" s="11">
        <f>SUM(_xlfn.ANCHORARRAY(C37))</f>
        <v>0</v>
      </c>
      <c r="N37" s="11" t="s">
        <v>64</v>
      </c>
    </row>
    <row r="38" spans="2:14" x14ac:dyDescent="0.2">
      <c r="B38" s="44" t="str">
        <f>"Discounted Impacts ("&amp;PriceYear&amp;" price year, 7% discount rate, "&amp;PVBaseYear&amp; " discount base year)"</f>
        <v>Discounted Impacts (2023 price year, 7% discount rate, 2024 discount base year)</v>
      </c>
      <c r="C38" s="11" cm="1">
        <f t="array" ref="C38:L38">-SUMIFS(_xlfn.ANCHORARRAY('Full Output'!X2),_xlfn.ANCHORARRAY( 'Full Output'!D2), "Out",_xlfn.ANCHORARRAY( 'Full Output'!E2),_xlfn.ANCHORARRAY( C36))</f>
        <v>0</v>
      </c>
      <c r="D38" s="11">
        <v>0</v>
      </c>
      <c r="E38" s="11">
        <v>0</v>
      </c>
      <c r="F38" s="11">
        <v>0</v>
      </c>
      <c r="G38" s="11">
        <v>0</v>
      </c>
      <c r="H38" s="11">
        <v>0</v>
      </c>
      <c r="I38" s="11">
        <v>0</v>
      </c>
      <c r="J38" s="11">
        <v>0</v>
      </c>
      <c r="K38" s="11">
        <v>0</v>
      </c>
      <c r="L38" s="11">
        <v>0</v>
      </c>
      <c r="M38" s="11">
        <f>SUM(_xlfn.ANCHORARRAY(C38))</f>
        <v>0</v>
      </c>
      <c r="N38" s="11">
        <f>M38*AF_7_10</f>
        <v>0</v>
      </c>
    </row>
    <row r="39" spans="2:14" x14ac:dyDescent="0.2">
      <c r="B39" s="44" t="s">
        <v>65</v>
      </c>
      <c r="C39" s="11" cm="1">
        <f t="array" ref="C39:L39">_xlfn.ANCHORARRAY(C37)*OneforOne_CPI_Conversion</f>
        <v>0</v>
      </c>
      <c r="D39" s="11">
        <v>0</v>
      </c>
      <c r="E39" s="11">
        <v>0</v>
      </c>
      <c r="F39" s="11">
        <v>0</v>
      </c>
      <c r="G39" s="11">
        <v>0</v>
      </c>
      <c r="H39" s="11">
        <v>0</v>
      </c>
      <c r="I39" s="11">
        <v>0</v>
      </c>
      <c r="J39" s="11">
        <v>0</v>
      </c>
      <c r="K39" s="11">
        <v>0</v>
      </c>
      <c r="L39" s="11">
        <v>0</v>
      </c>
      <c r="M39" s="11">
        <f>SUM(_xlfn.ANCHORARRAY(C39))</f>
        <v>0</v>
      </c>
      <c r="N39" s="11" t="s">
        <v>64</v>
      </c>
    </row>
    <row r="40" spans="2:14" x14ac:dyDescent="0.2">
      <c r="B40" s="44" t="s">
        <v>66</v>
      </c>
      <c r="C40" s="11" cm="1">
        <f t="array" ref="C40:L40">_xlfn.ANCHORARRAY(C38)*OneforOne_CPI_Conversion/(1.07)^Years_since_2012</f>
        <v>0</v>
      </c>
      <c r="D40" s="11">
        <v>0</v>
      </c>
      <c r="E40" s="11">
        <v>0</v>
      </c>
      <c r="F40" s="11">
        <v>0</v>
      </c>
      <c r="G40" s="11">
        <v>0</v>
      </c>
      <c r="H40" s="11">
        <v>0</v>
      </c>
      <c r="I40" s="11">
        <v>0</v>
      </c>
      <c r="J40" s="11">
        <v>0</v>
      </c>
      <c r="K40" s="11">
        <v>0</v>
      </c>
      <c r="L40" s="11">
        <v>0</v>
      </c>
      <c r="M40" s="11">
        <f>SUM(_xlfn.ANCHORARRAY(C40))</f>
        <v>0</v>
      </c>
      <c r="N40" s="11">
        <f>M40*AF_7_10</f>
        <v>0</v>
      </c>
    </row>
    <row r="41" spans="2:14" x14ac:dyDescent="0.2">
      <c r="B41" s="38"/>
    </row>
    <row r="42" spans="2:14" ht="12" x14ac:dyDescent="0.2">
      <c r="B42" s="34" t="s">
        <v>68</v>
      </c>
    </row>
    <row r="43" spans="2:14" ht="12" x14ac:dyDescent="0.25">
      <c r="B43" s="43" t="s">
        <v>61</v>
      </c>
      <c r="C43" s="10" cm="1">
        <f t="array" ref="C43:L43">_xlfn.SEQUENCE(,10, YearOfRegistration)</f>
        <v>2024</v>
      </c>
      <c r="D43" s="10">
        <v>2025</v>
      </c>
      <c r="E43" s="10">
        <v>2026</v>
      </c>
      <c r="F43" s="10">
        <v>2027</v>
      </c>
      <c r="G43" s="10">
        <v>2028</v>
      </c>
      <c r="H43" s="10">
        <v>2029</v>
      </c>
      <c r="I43" s="10">
        <v>2030</v>
      </c>
      <c r="J43" s="10">
        <v>2031</v>
      </c>
      <c r="K43" s="10">
        <v>2032</v>
      </c>
      <c r="L43" s="10">
        <v>2033</v>
      </c>
      <c r="M43" s="9" t="s">
        <v>62</v>
      </c>
      <c r="N43" s="9" t="s">
        <v>63</v>
      </c>
    </row>
    <row r="44" spans="2:14" x14ac:dyDescent="0.2">
      <c r="B44" s="44" t="str">
        <f>"Undiscounted Impacts ("&amp;PriceYear&amp;" price year)"</f>
        <v>Undiscounted Impacts (2023 price year)</v>
      </c>
      <c r="C44" s="11" cm="1">
        <f t="array" ref="C44:L44">_xlfn.ANCHORARRAY(C37)-_xlfn.ANCHORARRAY(C30)</f>
        <v>0</v>
      </c>
      <c r="D44" s="11">
        <v>0</v>
      </c>
      <c r="E44" s="11">
        <v>0</v>
      </c>
      <c r="F44" s="11">
        <v>0</v>
      </c>
      <c r="G44" s="11">
        <v>0</v>
      </c>
      <c r="H44" s="11">
        <v>0</v>
      </c>
      <c r="I44" s="11">
        <v>0</v>
      </c>
      <c r="J44" s="11">
        <v>0</v>
      </c>
      <c r="K44" s="11">
        <v>0</v>
      </c>
      <c r="L44" s="11">
        <v>0</v>
      </c>
      <c r="M44" s="11">
        <f>SUM(_xlfn.ANCHORARRAY(C44))</f>
        <v>0</v>
      </c>
      <c r="N44" s="11" t="s">
        <v>64</v>
      </c>
    </row>
    <row r="45" spans="2:14" x14ac:dyDescent="0.2">
      <c r="B45" s="44" t="str">
        <f>"Discounted Impacts ("&amp;PriceYear&amp;" price year, 7% discount rate, "&amp;PVBaseYear&amp; " discount base year)"</f>
        <v>Discounted Impacts (2023 price year, 7% discount rate, 2024 discount base year)</v>
      </c>
      <c r="C45" s="11" cm="1">
        <f t="array" ref="C45:L45">_xlfn.ANCHORARRAY(C38)-_xlfn.ANCHORARRAY(C31)</f>
        <v>0</v>
      </c>
      <c r="D45" s="11">
        <v>0</v>
      </c>
      <c r="E45" s="11">
        <v>0</v>
      </c>
      <c r="F45" s="11">
        <v>0</v>
      </c>
      <c r="G45" s="11">
        <v>0</v>
      </c>
      <c r="H45" s="11">
        <v>0</v>
      </c>
      <c r="I45" s="11">
        <v>0</v>
      </c>
      <c r="J45" s="11">
        <v>0</v>
      </c>
      <c r="K45" s="11">
        <v>0</v>
      </c>
      <c r="L45" s="11">
        <v>0</v>
      </c>
      <c r="M45" s="11">
        <f>SUM(_xlfn.ANCHORARRAY(C45))</f>
        <v>0</v>
      </c>
      <c r="N45" s="11">
        <f>M45*AF_7_10</f>
        <v>0</v>
      </c>
    </row>
    <row r="46" spans="2:14" x14ac:dyDescent="0.2">
      <c r="B46" s="44" t="s">
        <v>65</v>
      </c>
      <c r="C46" s="11" cm="1">
        <f t="array" ref="C46:L46">_xlfn.ANCHORARRAY(C39)-_xlfn.ANCHORARRAY(C32)</f>
        <v>0</v>
      </c>
      <c r="D46" s="11">
        <v>0</v>
      </c>
      <c r="E46" s="11">
        <v>0</v>
      </c>
      <c r="F46" s="11">
        <v>0</v>
      </c>
      <c r="G46" s="11">
        <v>0</v>
      </c>
      <c r="H46" s="11">
        <v>0</v>
      </c>
      <c r="I46" s="11">
        <v>0</v>
      </c>
      <c r="J46" s="11">
        <v>0</v>
      </c>
      <c r="K46" s="11">
        <v>0</v>
      </c>
      <c r="L46" s="11">
        <v>0</v>
      </c>
      <c r="M46" s="11">
        <f>SUM(_xlfn.ANCHORARRAY(C46))</f>
        <v>0</v>
      </c>
      <c r="N46" s="11" t="s">
        <v>64</v>
      </c>
    </row>
    <row r="47" spans="2:14" x14ac:dyDescent="0.2">
      <c r="B47" s="44" t="s">
        <v>66</v>
      </c>
      <c r="C47" s="11" cm="1">
        <f t="array" ref="C47:L47">_xlfn.ANCHORARRAY(C40)-_xlfn.ANCHORARRAY(C33)</f>
        <v>0</v>
      </c>
      <c r="D47" s="11">
        <v>0</v>
      </c>
      <c r="E47" s="11">
        <v>0</v>
      </c>
      <c r="F47" s="11">
        <v>0</v>
      </c>
      <c r="G47" s="11">
        <v>0</v>
      </c>
      <c r="H47" s="11">
        <v>0</v>
      </c>
      <c r="I47" s="11">
        <v>0</v>
      </c>
      <c r="J47" s="11">
        <v>0</v>
      </c>
      <c r="K47" s="11">
        <v>0</v>
      </c>
      <c r="L47" s="11">
        <v>0</v>
      </c>
      <c r="M47" s="11">
        <f>SUM(_xlfn.ANCHORARRAY(C47))</f>
        <v>0</v>
      </c>
      <c r="N47" s="11">
        <f>M47*AF_7_10</f>
        <v>0</v>
      </c>
    </row>
  </sheetData>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0ED2-EA7D-4EA9-AFF6-A9DE8F868E67}">
  <sheetPr codeName="Sheet7">
    <tabColor rgb="FF92D050"/>
  </sheetPr>
  <dimension ref="B2:C18"/>
  <sheetViews>
    <sheetView showGridLines="0" zoomScale="80" zoomScaleNormal="80" workbookViewId="0">
      <selection activeCell="B20" sqref="B20"/>
    </sheetView>
  </sheetViews>
  <sheetFormatPr defaultColWidth="9.109375" defaultRowHeight="11.4" x14ac:dyDescent="0.3"/>
  <cols>
    <col min="1" max="1" width="4" style="13" customWidth="1"/>
    <col min="2" max="2" width="48.44140625" style="47" customWidth="1"/>
    <col min="3" max="14" width="19.44140625" style="13" customWidth="1"/>
    <col min="15" max="16384" width="9.109375" style="13"/>
  </cols>
  <sheetData>
    <row r="2" spans="2:3" ht="15.6" x14ac:dyDescent="0.3">
      <c r="B2" s="46" t="s">
        <v>69</v>
      </c>
    </row>
    <row r="5" spans="2:3" ht="12" x14ac:dyDescent="0.3">
      <c r="B5" s="34" t="s">
        <v>46</v>
      </c>
    </row>
    <row r="6" spans="2:3" x14ac:dyDescent="0.3">
      <c r="B6" s="109" t="s">
        <v>70</v>
      </c>
      <c r="C6" s="110">
        <f>SUM(tbl_Stakeholders[Small Business Count])</f>
        <v>0</v>
      </c>
    </row>
    <row r="7" spans="2:3" x14ac:dyDescent="0.3">
      <c r="B7" s="111" t="s">
        <v>48</v>
      </c>
      <c r="C7" s="112" t="str">
        <f>Timeperiod&amp;" ("&amp;YearOfRegistration&amp;" to "&amp;YearOfRegistration+Timeperiod-1&amp;")"</f>
        <v>10 (2024 to 2033)</v>
      </c>
    </row>
    <row r="8" spans="2:3" x14ac:dyDescent="0.3">
      <c r="B8" s="111" t="s">
        <v>49</v>
      </c>
      <c r="C8" s="113">
        <f>PriceYear</f>
        <v>2023</v>
      </c>
    </row>
    <row r="9" spans="2:3" x14ac:dyDescent="0.3">
      <c r="B9" s="111" t="s">
        <v>50</v>
      </c>
      <c r="C9" s="113" t="str">
        <f>TEXT(Discount, "0%")</f>
        <v>7%</v>
      </c>
    </row>
    <row r="10" spans="2:3" x14ac:dyDescent="0.3">
      <c r="B10" s="114" t="s">
        <v>51</v>
      </c>
      <c r="C10" s="115">
        <f>PVBaseYear</f>
        <v>2024</v>
      </c>
    </row>
    <row r="11" spans="2:3" x14ac:dyDescent="0.3">
      <c r="B11" s="136" t="s">
        <v>71</v>
      </c>
      <c r="C11" s="137" t="s">
        <v>72</v>
      </c>
    </row>
    <row r="12" spans="2:3" x14ac:dyDescent="0.3">
      <c r="B12" s="138" t="s">
        <v>73</v>
      </c>
      <c r="C12" s="139">
        <v>0</v>
      </c>
    </row>
    <row r="15" spans="2:3" x14ac:dyDescent="0.3">
      <c r="B15" s="129" t="s">
        <v>74</v>
      </c>
    </row>
    <row r="18" spans="2:2" x14ac:dyDescent="0.3">
      <c r="B18" s="47" t="str" cm="1">
        <f t="array" ref="B18">_xlfn.LET(
_xlpm.Magnitude, 1/10^IF($C$11="Millions",6,IF($C$11="Billions",9)),
_xlpm.Magnitude_text, IF($C$11="Millions", " ($ millions)", IF($C$11="Billions", " ($ billions)", "")),
_xlpm.AffectedType, INDEX(tbl_Activities[Affected Stakeholder Type], MATCH(_xlfn.ANCHORARRAY('Full Output'!$A$2), ActivityNumber, 0)),
_xlpm.AffectsSmallBusinesses, --(_xlpm.AffectedType="Small Businesses")+--(_xlpm.AffectedType="All Businesses")+--(_xlpm.AffectedType="All Types"),
_xlpm.a, IFERROR(_xlfn.VSTACK(INDEX(_xlfn.UNIQUE(_xlfn._xlws.FILTER(_xlfn.ANCHORARRAY('Full Output'!$B$2):_xlfn.ANCHORARRAY('Full Output'!$C$2), (_xlfn.ANCHORARRAY('Full Output'!$D$2)="Out")*(_xlpm.AffectsSmallBusinesses=1))), , 2), "Total"),""),
_xlpm.b, IFERROR(_xlfn.VSTACK(INDEX(_xlfn.UNIQUE(_xlfn._xlws.FILTER(_xlfn.ANCHORARRAY('Full Output'!$B$2):_xlfn.ANCHORARRAY('Full Output'!$C$2), (_xlfn.ANCHORARRAY('Full Output'!$D$2)="Out")*(_xlpm.AffectsSmallBusinesses=1))), , 1), "Total benefits"),""),
_xlpm.c, -_xlfn.LET(_xlpm.x, SUMIFS(_xlfn.ANCHORARRAY('Full Output'!$T$2),_xlfn.ANCHORARRAY( 'Full Output'!$D$2), "Out",_xlfn.ANCHORARRAY( 'Full Output'!$B$2), _xlpm.b,_xlfn.ANCHORARRAY( 'Full Output'!$C$2), _xlpm.a), IF(_xlpm.b="Total benefits", SUM(_xlpm.x), _xlpm.x)),
_xlpm.d, _xlpm.c*AF,
_xlpm.tbl_SBLBenefits, _xlfn.HSTACK(_xlpm.a, _xlpm.b, DOLLAR(_xlpm.c*_xlpm.Magnitude, $C$12), DOLLAR(_xlpm.d*_xlpm.Magnitude, $C$12)),
_xlpm.TPV_Benefits, INDEX(_xlpm.tbl_SBLBenefits, ROWS(_xlpm.tbl_SBLBenefits), 3),
_xlpm.f, IFERROR(_xlfn.VSTACK(INDEX(_xlfn.UNIQUE(_xlfn._xlws.FILTER(_xlfn.ANCHORARRAY('Full Output'!$B$2):_xlfn.ANCHORARRAY('Full Output'!$C$2), (_xlfn.ANCHORARRAY('Full Output'!$D$2)="In")*(_xlpm.AffectsSmallBusinesses=1))), , 2), "Total"),""),
_xlpm.g, IFERROR(_xlfn.VSTACK(INDEX(_xlfn.UNIQUE(_xlfn._xlws.FILTER(_xlfn.ANCHORARRAY('Full Output'!$B$2):_xlfn.ANCHORARRAY('Full Output'!$C$2), (_xlfn.ANCHORARRAY('Full Output'!$D$2)="In")*(_xlpm.AffectsSmallBusinesses=1))), , 1), "Total costs"),""),
_xlpm.h, _xlfn.LET(_xlpm.y, SUMIFS(_xlfn.ANCHORARRAY('Full Output'!$T$2),_xlfn.ANCHORARRAY( 'Full Output'!$D$2), "In",_xlfn.ANCHORARRAY( 'Full Output'!$B$2), _xlpm.g,_xlfn.ANCHORARRAY( 'Full Output'!$C$2), _xlpm.f), IF(_xlpm.g="Total costs", SUM(_xlpm.y), _xlpm.y)),
_xlpm.i, _xlpm.h*AF,
_xlpm.tbl_SBLCosts, _xlfn.HSTACK(_xlpm.f, _xlpm.g, DOLLAR(_xlpm.h*_xlpm.Magnitude, $C$12), DOLLAR(_xlpm.i*_xlpm.Magnitude, $C$12)),
_xlpm.TPV_Costs, INDEX(_xlpm.tbl_SBLCosts, ROWS(_xlpm.tbl_SBLCosts), 3),
_xlpm.net_11, "Net impact on all impacted small businesses "&amp;CHAR(10)&amp;"[Total benefits minus total costs]",
_xlpm.net_12, _xlpm.TPV_Benefits-_xlpm.TPV_Costs,
_xlpm.net_13, _xlpm.net_12*AF,
_xlpm.net_21, "Average net impact on each impacted small business " &amp;CHAR(10)&amp;"[Net impact divided by number of impacted small businesses]",
_xlpm.net_22, _xlpm.net_12/C6,
_xlpm.net_23, _xlpm.net_22*AF,
_xlpm.tbl_SBLNet, _xlfn.VSTACK(_xlfn.HSTACK(_xlpm.net_11, DOLLAR(_xlpm.net_12, $C$12), DOLLAR(_xlpm.net_13, $C$12)), _xlfn.HSTACK(_xlpm.net_21, DOLLAR(_xlpm.net_22, $C$12), DOLLAR(_xlpm.net_23, $C$12))),
_xlpm.BenefitsHeader, _xlfn.HSTACK("Administrative or Compliance", "Description of benefit", "Present value", "Annualized Value"),
_xlpm.CostsHeader, _xlfn.HSTACK("Administrative or Compliance", "Description of cost", "Present value", "Annualized value"),
_xlpm.NetHeader, _xlfn.HSTACK("Amount", "Present value", "Annualized value"),
_xlpm.SBLYearHeader, _xlfn.HSTACK("CBA Parameter", YearHeader_Discounted),
_xlpm.IN_Undiscounted, _xlfn.IFS(YearHeader_Discounted="Total", DOLLAR(SUMIFS(_xlfn.ANCHORARRAY('Full Output'!$O$2),_xlfn.ANCHORARRAY( 'Full Output'!$D$2), "In")*_xlpm.Magnitude, $C$12), YearHeader_Discounted="Annualized", "N/A", TRUE, DOLLAR(SUMIFS(_xlfn.ANCHORARRAY('Full Output'!$O$2),_xlfn.ANCHORARRAY( 'Full Output'!$E$2), YearHeader_Discounted,_xlfn.ANCHORARRAY( 'Full Output'!$D$2), "In")*_xlpm.Magnitude, $C$12)),
_xlpm.IN_Discounted, DOLLAR(_xlfn.IFS(YearHeader_Discounted="Total", SUMIFS(_xlfn.ANCHORARRAY('Full Output'!$T$2),_xlfn.ANCHORARRAY( 'Full Output'!$D$2), "In"), YearHeader_Discounted="Annualized", SUMIFS(_xlfn.ANCHORARRAY('Full Output'!$T$2),_xlfn.ANCHORARRAY( 'Full Output'!$D$2), "In")*AF, TRUE, SUMIFS(_xlfn.ANCHORARRAY('Full Output'!$T$2),_xlfn.ANCHORARRAY( 'Full Output'!$E$2), YearHeader_Discounted,_xlfn.ANCHORARRAY( 'Full Output'!$D$2), "In"))*_xlpm.Magnitude, $C$12),
_xlpm.OUT_Undiscounted, _xlfn.IFS(YearHeader_Discounted="Total", DOLLAR(-SUMIFS(_xlfn.ANCHORARRAY('Full Output'!$O$2),_xlfn.ANCHORARRAY( 'Full Output'!$D$2), "Out")*_xlpm.Magnitude, $C$12), YearHeader_Discounted="Annualized", "N/A", TRUE, DOLLAR(-SUMIFS(_xlfn.ANCHORARRAY('Full Output'!$O$2),_xlfn.ANCHORARRAY( 'Full Output'!$E$2), YearHeader_Discounted,_xlfn.ANCHORARRAY( 'Full Output'!$D$2), "Out")*_xlpm.Magnitude, $C$12)),
_xlpm.OUT_Discounted, DOLLAR(-_xlfn.IFS(YearHeader_Discounted="Total", SUMIFS(_xlfn.ANCHORARRAY('Full Output'!T2),_xlfn.ANCHORARRAY( 'Full Output'!D2), "Out"), YearHeader_Discounted="Annualized", SUMIFS(_xlfn.ANCHORARRAY('Full Output'!T2),_xlfn.ANCHORARRAY( 'Full Output'!D2), "Out")*AF, TRUE, SUMIFS(_xlfn.ANCHORARRAY('Full Output'!T2),_xlfn.ANCHORARRAY( 'Full Output'!E2), YearHeader_Discounted,_xlfn.ANCHORARRAY( 'Full Output'!D2), "Out"))*_xlpm.Magnitude, $C$12),
_xlpm.NET_Undiscounted, IFERROR(DOLLAR(_xlpm.OUT_Undiscounted-_xlpm.IN_Undiscounted, $C$12), "N/A"),
_xlpm.NET_Discounted, DOLLAR(_xlpm.OUT_Discounted-_xlpm.IN_Discounted, $C$12),
_xlpm.IN, _xlfn.VSTACK("IN"&amp;_xlpm.Magnitude_text, _xlpm.SBLYearHeader, _xlfn.HSTACK(_xlfn.VSTACK("Undiscounted", "Discounted"), _xlfn.VSTACK(_xlpm.IN_Undiscounted, _xlpm.IN_Discounted))),
_xlpm.OUT, _xlfn.VSTACK("OUT"&amp;_xlpm.Magnitude_text, _xlpm.SBLYearHeader, _xlfn.HSTACK(_xlfn.VSTACK("Undiscounted", "Discounted"), _xlfn.VSTACK(_xlpm.OUT_Undiscounted, _xlpm.OUT_Discounted))),
_xlpm.NET, _xlfn.VSTACK("NET"&amp;_xlpm.Magnitude_text, _xlpm.SBLYearHeader, _xlfn.HSTACK(_xlfn.VSTACK("Undiscounted", "Discounted"), _xlfn.VSTACK(_xlpm.NET_Undiscounted, _xlpm.NET_Discounted))),
IFERROR(_xlfn.VSTACK("Benefits"&amp;_xlpm.Magnitude_text, _xlpm.BenefitsHeader, _xlpm.tbl_SBLBenefits, "", "", "Costs"&amp;_xlpm.Magnitude_text, _xlpm.CostsHeader, _xlpm.tbl_SBLCosts, "", "", "Net Impacts"&amp;_xlpm.Magnitude_text, _xlpm.NetHeader, _xlpm.tbl_SBLNet, "", "", "", _xlpm.IN, "", _xlpm.OUT, "", _xlpm.NET),""))</f>
        <v/>
      </c>
    </row>
  </sheetData>
  <conditionalFormatting sqref="B17:E403">
    <cfRule type="expression" dxfId="43" priority="1">
      <formula>$B16="Administrative or Compliance"</formula>
    </cfRule>
    <cfRule type="expression" dxfId="42" priority="3">
      <formula>$B17="Total"</formula>
    </cfRule>
    <cfRule type="expression" dxfId="41" priority="4">
      <formula>$B17="Amount"</formula>
    </cfRule>
    <cfRule type="expression" dxfId="40" priority="5">
      <formula>$B17="Administrative or Compliance"</formula>
    </cfRule>
    <cfRule type="expression" dxfId="39" priority="10">
      <formula>OR($B17="Net Impacts", $B17="Net Impacts ($ millions)", $B17="Net Impacts ($ billions)")</formula>
    </cfRule>
    <cfRule type="expression" dxfId="38" priority="11">
      <formula>OR($B17="Costs", $B17="Costs ($ millions)", $B17="Costs ($ billions)")</formula>
    </cfRule>
    <cfRule type="expression" dxfId="37" priority="12">
      <formula>OR($B17="Benefits", $B17="Benefits ($ millions)", $B17="Benefits ($ billions)")</formula>
    </cfRule>
  </conditionalFormatting>
  <conditionalFormatting sqref="B17:CY403">
    <cfRule type="expression" dxfId="36" priority="2">
      <formula>$B17="CBA Parameter"</formula>
    </cfRule>
    <cfRule type="expression" dxfId="35" priority="7">
      <formula>OR($B17="NET", $B17="Net ($ millions)", $B17="Net ($ billions)")</formula>
    </cfRule>
    <cfRule type="expression" dxfId="34" priority="8">
      <formula>OR($B17="OUT", $B17="OUT ($ millions)", $B17="OUT ($ billions)")</formula>
    </cfRule>
    <cfRule type="expression" dxfId="33" priority="9">
      <formula>OR($B17="IN", $B17="IN ($ millions)", $B17= "IN ($ billions)")</formula>
    </cfRule>
    <cfRule type="notContainsBlanks" dxfId="32" priority="13">
      <formula>LEN(TRIM(B17))&gt;0</formula>
    </cfRule>
  </conditionalFormatting>
  <dataValidations count="2">
    <dataValidation type="list" allowBlank="1" showInputMessage="1" showErrorMessage="1" sqref="C12:C15" xr:uid="{7A352B02-3BA5-4417-BCBC-67712185EC09}">
      <formula1>"0, 1, 2, 3, 4"</formula1>
    </dataValidation>
    <dataValidation type="list" allowBlank="1" showInputMessage="1" showErrorMessage="1" sqref="C11" xr:uid="{55570B72-1F02-48A0-9DA8-9AC9DA757705}">
      <formula1>"Single, Millions, Billions"</formula1>
    </dataValidation>
  </dataValidations>
  <pageMargins left="0.7" right="0.7" top="0.75" bottom="0.75" header="0.3" footer="0.3"/>
  <pageSetup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F0609-E1AB-41FA-872C-0054B4C65085}">
  <sheetPr codeName="Sheet8">
    <tabColor rgb="FFF4EE00"/>
  </sheetPr>
  <dimension ref="B2:N11"/>
  <sheetViews>
    <sheetView showGridLines="0" zoomScale="80" zoomScaleNormal="80" workbookViewId="0"/>
  </sheetViews>
  <sheetFormatPr defaultColWidth="9.109375" defaultRowHeight="13.2" x14ac:dyDescent="0.25"/>
  <cols>
    <col min="1" max="1" width="9.109375" style="97"/>
    <col min="2" max="2" width="25" style="97" customWidth="1"/>
    <col min="3" max="3" width="26.88671875" style="97" customWidth="1"/>
    <col min="4" max="14" width="11.44140625" style="97" customWidth="1"/>
    <col min="15" max="16384" width="9.109375" style="97"/>
  </cols>
  <sheetData>
    <row r="2" spans="2:14" ht="15.6" x14ac:dyDescent="0.25">
      <c r="B2" s="96" t="s">
        <v>75</v>
      </c>
    </row>
    <row r="3" spans="2:14" ht="15.6" x14ac:dyDescent="0.25">
      <c r="B3" s="96"/>
    </row>
    <row r="6" spans="2:14" s="100" customFormat="1" x14ac:dyDescent="0.25"/>
    <row r="7" spans="2:14" s="100" customFormat="1" x14ac:dyDescent="0.25">
      <c r="D7" s="100">
        <v>0</v>
      </c>
      <c r="E7" s="100" cm="1">
        <f t="array" ref="E7:N7">_xlfn.SEQUENCE(,Timeperiod)</f>
        <v>1</v>
      </c>
      <c r="F7" s="100">
        <v>2</v>
      </c>
      <c r="G7" s="100">
        <v>3</v>
      </c>
      <c r="H7" s="100">
        <v>4</v>
      </c>
      <c r="I7" s="100">
        <v>5</v>
      </c>
      <c r="J7" s="100">
        <v>6</v>
      </c>
      <c r="K7" s="100">
        <v>7</v>
      </c>
      <c r="L7" s="100">
        <v>8</v>
      </c>
      <c r="M7" s="100">
        <v>9</v>
      </c>
      <c r="N7" s="100">
        <v>10</v>
      </c>
    </row>
    <row r="8" spans="2:14" s="99" customFormat="1" x14ac:dyDescent="0.25">
      <c r="B8" s="98" t="s">
        <v>76</v>
      </c>
      <c r="C8" s="98" t="s">
        <v>77</v>
      </c>
      <c r="D8" s="98" cm="1">
        <f t="array" ref="D8:N8">_xlfn.HSTACK(YearOfRegistration, _xlfn.SEQUENCE(, Timeperiod, YearOfRegistration))</f>
        <v>2024</v>
      </c>
      <c r="E8" s="98">
        <v>2024</v>
      </c>
      <c r="F8" s="98">
        <v>2025</v>
      </c>
      <c r="G8" s="98">
        <v>2026</v>
      </c>
      <c r="H8" s="98">
        <v>2027</v>
      </c>
      <c r="I8" s="98">
        <v>2028</v>
      </c>
      <c r="J8" s="98">
        <v>2029</v>
      </c>
      <c r="K8" s="98">
        <v>2030</v>
      </c>
      <c r="L8" s="98">
        <v>2031</v>
      </c>
      <c r="M8" s="98">
        <v>2032</v>
      </c>
      <c r="N8" s="98">
        <v>2033</v>
      </c>
    </row>
    <row r="9" spans="2:14" x14ac:dyDescent="0.25">
      <c r="B9" s="97" t="str" cm="1">
        <f t="array" ref="B9:B11">IFERROR(_xlfn._xlws.SORT(_xlfn.TOCOL(IF(_xlfn.SEQUENCE(1, IF(SUM(tbl_Stakeholders[Non-business Count])=0, 3, 5)), _xlfn._xlws.FILTER(tbl_Stakeholders[Stakeholder Group], ISBLANK(tbl_Stakeholders[Stakeholder Group])=FALSE)),,1)), "")</f>
        <v/>
      </c>
      <c r="C9" s="97" t="str" cm="1">
        <f t="array" ref="C9">IFERROR(_xlfn.TOCOL( IF(_xlfn.SEQUENCE(COUNTA(tbl_Stakeholders[Stakeholder Group]), 1), IF(SUM(tbl_Stakeholders[Non-business Count])&gt;0, tbl_Stakeholders[[#Headers],[Non-business Count]:[Total Stakeholder Count]], tbl_Stakeholders[[#Headers],[Small Business Count]:[Total Business Count]])), ,FALSE ), "")</f>
        <v/>
      </c>
      <c r="D9" s="97" t="str" cm="1">
        <f t="array" ref="D9:D11">IFERROR(INDEX(tbl_Stakeholders[[Non-business Count]:[Total Stakeholder Count]], MATCH(_xlfn.ANCHORARRAY(B9), tbl_Stakeholders[Stakeholder Group], 0), MATCH(_xlfn.ANCHORARRAY(C9), tbl_Stakeholders[[#Headers],[Non-business Count]:[Total Stakeholder Count]], 0)), "")</f>
        <v/>
      </c>
      <c r="E9" s="97" t="str" cm="1">
        <f t="array" ref="E9">IF(COUNTA(tbl_Stakeholders[Stakeholder Group])=0, "", _xlfn.MAKEARRAY(ROWS(_xlfn._xlws.FILTER(tbl_Stakeholders[], tbl_Stakeholders[Stakeholder Group]&lt;&gt;""))*IF(SUM(tbl_Stakeholders[Non-business Count])&gt;0, 5, 3), Timeperiod, _xlfn.LAMBDA(_xlpm.r,_xlpm.c,
IFERROR(_xlfn.LET(
_xlpm.ThisGroup, MATCH(INDEX(_xlfn.ANCHORARRAY($B$9), _xlpm.r), tbl_Stakeholders[Stakeholder Group], 0),
_xlpm.x, INDEX(tbl_Stakeholders[Non-business Count], _xlpm.ThisGroup)*(1+INDEX(tbl_Stakeholders[Non-business Growth Rate], _xlpm.ThisGroup))^INDEX(_xlfn.ANCHORARRAY($E$7),, _xlpm.c),
_xlpm.y, INDEX(tbl_Stakeholders[Small Business Count], _xlpm.ThisGroup)*(1+INDEX(tbl_Stakeholders[Small Business Growth Rate], _xlpm.ThisGroup))^INDEX(_xlfn.ANCHORARRAY($E$7),,_xlpm.c),
_xlpm.z, INDEX(tbl_Stakeholders[Med/Large Business Count], _xlpm.ThisGroup)*(1+INDEX(tbl_Stakeholders[Med/Large Business Growth Rate], _xlpm.ThisGroup))^INDEX(_xlfn.ANCHORARRAY($E$7),,_xlpm.c),
IF(INDEX(_xlfn.ANCHORARRAY($C$9), _xlpm.r)="Non-business Count", _xlpm.x,
IF(INDEX(_xlfn.ANCHORARRAY($C$9), _xlpm.r)="Small Business Count", _xlpm.y,
IF(INDEX(_xlfn.ANCHORARRAY($C$9), _xlpm.r)="Med/Large Business Count", _xlpm.z,
IF(INDEX(_xlfn.ANCHORARRAY($C$9), _xlpm.r)="Total Business Count", _xlpm.y+_xlpm.z,
IF(INDEX(_xlfn.ANCHORARRAY($C$9), _xlpm.r)="Total Stakeholder Count", _xlpm.x+_xlpm.y+_xlpm.z)))))), ""))))</f>
        <v/>
      </c>
    </row>
    <row r="10" spans="2:14" x14ac:dyDescent="0.25">
      <c r="B10" s="97" t="str">
        <v/>
      </c>
      <c r="D10" s="97" t="str">
        <v/>
      </c>
    </row>
    <row r="11" spans="2:14" x14ac:dyDescent="0.25">
      <c r="B11" s="97" t="str">
        <v/>
      </c>
      <c r="D11" s="97" t="str">
        <v/>
      </c>
    </row>
  </sheetData>
  <phoneticPr fontId="3" type="noConversion"/>
  <conditionalFormatting sqref="B9:O9 Q9:CY9 B10:CY398">
    <cfRule type="notContainsBlanks" dxfId="31" priority="9">
      <formula>LEN(TRIM(B9))&gt;0</formula>
    </cfRule>
  </conditionalFormatting>
  <conditionalFormatting sqref="B8:CY8">
    <cfRule type="notContainsBlanks" dxfId="30" priority="8">
      <formula>LEN(TRIM(B8))&gt;0</formula>
    </cfRule>
  </conditionalFormatting>
  <pageMargins left="0.7" right="0.7" top="0.75" bottom="0.75" header="0.3" footer="0.3"/>
  <pageSetup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2D91-9FC2-455A-8350-FC9B47A63605}">
  <sheetPr codeName="Sheet9">
    <tabColor rgb="FFF4EE00"/>
  </sheetPr>
  <dimension ref="B2:N17"/>
  <sheetViews>
    <sheetView showGridLines="0" zoomScale="80" zoomScaleNormal="80" workbookViewId="0">
      <selection activeCell="B15" sqref="B15"/>
    </sheetView>
  </sheetViews>
  <sheetFormatPr defaultColWidth="9.109375" defaultRowHeight="13.2" x14ac:dyDescent="0.3"/>
  <cols>
    <col min="1" max="1" width="9.109375" style="45"/>
    <col min="2" max="2" width="29.33203125" style="92" customWidth="1"/>
    <col min="3" max="14" width="15.6640625" style="45" customWidth="1"/>
    <col min="15" max="16384" width="9.109375" style="45"/>
  </cols>
  <sheetData>
    <row r="2" spans="2:14" ht="15.6" x14ac:dyDescent="0.3">
      <c r="B2" s="89" t="s">
        <v>78</v>
      </c>
    </row>
    <row r="5" spans="2:14" x14ac:dyDescent="0.3">
      <c r="B5" s="104" t="s">
        <v>49</v>
      </c>
      <c r="C5" s="101">
        <f>PriceYear</f>
        <v>2023</v>
      </c>
    </row>
    <row r="6" spans="2:14" x14ac:dyDescent="0.3">
      <c r="B6" s="105" t="s">
        <v>50</v>
      </c>
      <c r="C6" s="102">
        <f>Discount</f>
        <v>7.0000000000000007E-2</v>
      </c>
    </row>
    <row r="7" spans="2:14" x14ac:dyDescent="0.3">
      <c r="B7" s="106" t="s">
        <v>79</v>
      </c>
      <c r="C7" s="103">
        <f>PVBaseYear</f>
        <v>2024</v>
      </c>
    </row>
    <row r="8" spans="2:14" x14ac:dyDescent="0.3">
      <c r="B8" s="132" t="s">
        <v>71</v>
      </c>
      <c r="C8" s="133" t="s">
        <v>72</v>
      </c>
    </row>
    <row r="9" spans="2:14" x14ac:dyDescent="0.3">
      <c r="B9" s="134" t="s">
        <v>73</v>
      </c>
      <c r="C9" s="135">
        <v>0</v>
      </c>
    </row>
    <row r="12" spans="2:14" x14ac:dyDescent="0.3">
      <c r="B12" s="144" t="s">
        <v>80</v>
      </c>
    </row>
    <row r="13" spans="2:14" x14ac:dyDescent="0.3">
      <c r="B13" s="144"/>
    </row>
    <row r="15" spans="2:14" s="95" customFormat="1" x14ac:dyDescent="0.3">
      <c r="B15" s="107" t="s">
        <v>61</v>
      </c>
      <c r="C15" s="93" cm="1">
        <f t="array" ref="C15:N15">_xlfn.HSTACK(_xlfn.SEQUENCE(, Timeperiod, YearOfRegistration), "Total", "Annualized")</f>
        <v>2024</v>
      </c>
      <c r="D15" s="93">
        <v>2025</v>
      </c>
      <c r="E15" s="93">
        <v>2026</v>
      </c>
      <c r="F15" s="93">
        <v>2027</v>
      </c>
      <c r="G15" s="93">
        <v>2028</v>
      </c>
      <c r="H15" s="93">
        <v>2029</v>
      </c>
      <c r="I15" s="93">
        <v>2030</v>
      </c>
      <c r="J15" s="93">
        <v>2031</v>
      </c>
      <c r="K15" s="93">
        <v>2032</v>
      </c>
      <c r="L15" s="93">
        <v>2033</v>
      </c>
      <c r="M15" s="93" t="str">
        <v>Total</v>
      </c>
      <c r="N15" s="93" t="str">
        <v>Annualized</v>
      </c>
    </row>
    <row r="16" spans="2:14" x14ac:dyDescent="0.3">
      <c r="B16" s="108" t="str">
        <f>"Discounted Impacts" &amp; IF($C$8="Millions", " ($ millions)", IF($C$8="Billions", " ($ billions)", ""))</f>
        <v>Discounted Impacts</v>
      </c>
      <c r="C16" s="94" t="str" cm="1">
        <f t="array" ref="C16:N16">_xlfn.MAKEARRAY(1,Timeperiod+2,_xlfn.LAMBDA(_xlpm.r,_xlpm.c,
DOLLAR(
     IF(INDEX(_xlfn.ANCHORARRAY(C15),, _xlpm.c)="Total",-SUM(_xlfn.ANCHORARRAY('Full Output'!$W$2)),
     IF(INDEX(_xlfn.ANCHORARRAY(C15),, _xlpm.c)="Annualized",-SUM(_xlfn.ANCHORARRAY('Full Output'!$W$2))*AF,
     -SUMIFS(_xlfn.ANCHORARRAY('Full Output'!$W$2),_xlfn.ANCHORARRAY('Full Output'!$E$2),INDEX(_xlfn.ANCHORARRAY(C15),, _xlpm.c))))
/10^IF($C$8="Millions",6,IF($C$8="Billions",9)),
$C$9)))</f>
        <v>$0</v>
      </c>
      <c r="D16" s="94" t="str">
        <v>$0</v>
      </c>
      <c r="E16" s="94" t="str">
        <v>$0</v>
      </c>
      <c r="F16" s="94" t="str">
        <v>$0</v>
      </c>
      <c r="G16" s="94" t="str">
        <v>$0</v>
      </c>
      <c r="H16" s="94" t="str">
        <v>$0</v>
      </c>
      <c r="I16" s="94" t="str">
        <v>$0</v>
      </c>
      <c r="J16" s="94" t="str">
        <v>$0</v>
      </c>
      <c r="K16" s="94" t="str">
        <v>$0</v>
      </c>
      <c r="L16" s="94" t="str">
        <v>$0</v>
      </c>
      <c r="M16" s="94" t="str">
        <v>$0</v>
      </c>
      <c r="N16" s="94" t="str">
        <v>$0</v>
      </c>
    </row>
    <row r="17" spans="2:14" x14ac:dyDescent="0.3">
      <c r="B17" s="108" t="str">
        <f>"Undiscounted Impacts"&amp; IF($C$8="Millions", " ($ millions)", IF($C$8="Billions", " ($ billions)", ""))</f>
        <v>Undiscounted Impacts</v>
      </c>
      <c r="C17" s="94" t="str" cm="1">
        <f t="array" ref="C17:N17">_xlfn.MAKEARRAY(1,Timeperiod+2,_xlfn.LAMBDA(_xlpm.r,_xlpm.c,
     IF(INDEX(_xlfn.ANCHORARRAY(C15),, _xlpm.c)="Total",DOLLAR(-SUM(_xlfn.ANCHORARRAY('Full Output'!R2))/10^IF($C$8="Millions", 6, IF($C$8="Billions", 9)), $C$9),
     IF(INDEX(_xlfn.ANCHORARRAY(C15),, _xlpm.c)="Annualized", "N/A",
     DOLLAR(-SUMIFS(_xlfn.ANCHORARRAY('Full Output'!R2),_xlfn.ANCHORARRAY( 'Full Output'!E2), INDEX(_xlfn.ANCHORARRAY(C15),, _xlpm.c))/10^IF($C$8="Millions", 6, IF($C$8="Billions", 9)), $C$9)
))))</f>
        <v>$0</v>
      </c>
      <c r="D17" s="94" t="str">
        <v>$0</v>
      </c>
      <c r="E17" s="94" t="str">
        <v>$0</v>
      </c>
      <c r="F17" s="94" t="str">
        <v>$0</v>
      </c>
      <c r="G17" s="94" t="str">
        <v>$0</v>
      </c>
      <c r="H17" s="94" t="str">
        <v>$0</v>
      </c>
      <c r="I17" s="94" t="str">
        <v>$0</v>
      </c>
      <c r="J17" s="94" t="str">
        <v>$0</v>
      </c>
      <c r="K17" s="94" t="str">
        <v>$0</v>
      </c>
      <c r="L17" s="94" t="str">
        <v>$0</v>
      </c>
      <c r="M17" s="94" t="str">
        <v>$0</v>
      </c>
      <c r="N17" s="94" t="str">
        <v>N/A</v>
      </c>
    </row>
  </sheetData>
  <conditionalFormatting sqref="B15:CZ17">
    <cfRule type="notContainsBlanks" dxfId="29" priority="1">
      <formula>LEN(TRIM(B15))&gt;0</formula>
    </cfRule>
  </conditionalFormatting>
  <dataValidations count="2">
    <dataValidation type="list" allowBlank="1" showInputMessage="1" showErrorMessage="1" sqref="C8" xr:uid="{69D5BCA3-1DDE-4D34-B518-FCF255D97552}">
      <formula1>"Single, Millions, Billions"</formula1>
    </dataValidation>
    <dataValidation type="list" allowBlank="1" showInputMessage="1" showErrorMessage="1" sqref="C9" xr:uid="{D05AD85C-4B7D-48E1-A276-EAD5F567C94D}">
      <formula1>"0, 1, 2, 3, 4"</formula1>
    </dataValidation>
  </dataValidations>
  <pageMargins left="0.7" right="0.7" top="0.75" bottom="0.75" header="0.3" footer="0.3"/>
  <pageSetup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A67EB-1517-4DD5-A8C6-A908CDF6C143}">
  <sheetPr codeName="Sheet10">
    <tabColor rgb="FFF4EE00"/>
  </sheetPr>
  <dimension ref="B2:C15"/>
  <sheetViews>
    <sheetView showGridLines="0" zoomScale="80" zoomScaleNormal="80" workbookViewId="0">
      <selection activeCell="B15" sqref="B15"/>
    </sheetView>
  </sheetViews>
  <sheetFormatPr defaultColWidth="9.109375" defaultRowHeight="13.2" x14ac:dyDescent="0.3"/>
  <cols>
    <col min="1" max="1" width="9.109375" style="45"/>
    <col min="2" max="2" width="29.33203125" style="92" customWidth="1"/>
    <col min="3" max="14" width="15.6640625" style="45" customWidth="1"/>
    <col min="15" max="16384" width="9.109375" style="45"/>
  </cols>
  <sheetData>
    <row r="2" spans="2:3" ht="15.6" x14ac:dyDescent="0.3">
      <c r="B2" s="91" t="s">
        <v>81</v>
      </c>
    </row>
    <row r="3" spans="2:3" x14ac:dyDescent="0.25">
      <c r="B3" s="90"/>
    </row>
    <row r="4" spans="2:3" x14ac:dyDescent="0.25">
      <c r="B4" s="90"/>
    </row>
    <row r="5" spans="2:3" x14ac:dyDescent="0.3">
      <c r="B5" s="104" t="s">
        <v>49</v>
      </c>
      <c r="C5" s="101">
        <f>PriceYear</f>
        <v>2023</v>
      </c>
    </row>
    <row r="6" spans="2:3" x14ac:dyDescent="0.3">
      <c r="B6" s="105" t="s">
        <v>50</v>
      </c>
      <c r="C6" s="102">
        <f>Discount</f>
        <v>7.0000000000000007E-2</v>
      </c>
    </row>
    <row r="7" spans="2:3" x14ac:dyDescent="0.3">
      <c r="B7" s="106" t="s">
        <v>79</v>
      </c>
      <c r="C7" s="103">
        <f>PVBaseYear</f>
        <v>2024</v>
      </c>
    </row>
    <row r="8" spans="2:3" x14ac:dyDescent="0.3">
      <c r="B8" s="132" t="s">
        <v>71</v>
      </c>
      <c r="C8" s="133" t="s">
        <v>72</v>
      </c>
    </row>
    <row r="9" spans="2:3" x14ac:dyDescent="0.3">
      <c r="B9" s="134" t="s">
        <v>73</v>
      </c>
      <c r="C9" s="135">
        <v>0</v>
      </c>
    </row>
    <row r="12" spans="2:3" x14ac:dyDescent="0.3">
      <c r="B12" s="144" t="s">
        <v>80</v>
      </c>
    </row>
    <row r="15" spans="2:3" x14ac:dyDescent="0.3">
      <c r="B15" s="92" t="str" cm="1">
        <f t="array" ref="B15">_xlfn.LET(
_xlpm.Activities, _xlfn.UNIQUE(_xlfn._xlws.FILTER(tbl_Activities[Activity], Checkblank)),
_xlpm.Magnitude, 1/10^IF($C$8="Millions",6,IF($C$8="Billions",9)),
_xlpm.Magnitude_text, IF($C$8="Millions", " ($ millions)",IF($C$8="Billions", " ($ billions)", "")),
_xlpm.x, -_xlfn.MAKEARRAY(ROWS(_xlpm.Activities), Timeperiod+2, _xlfn.LAMBDA(_xlpm.r,_xlpm.c,
     IF(INDEX(YearHeader_Discounted,, _xlpm.c)="Total", SUMIFS(_xlfn.ANCHORARRAY('Full Output'!$W$2),_xlfn.ANCHORARRAY('Full Output'!$B$2), INDEX(_xlpm.Activities, _xlpm.r)),
     IF(INDEX(YearHeader_Discounted,, _xlpm.c)="Annualized", SUMIFS(_xlfn.ANCHORARRAY('Full Output'!$W$2),_xlfn.ANCHORARRAY('Full Output'!$B$2), INDEX(_xlpm.Activities, _xlpm.r))*AF,
     (SUMIFS(_xlfn.ANCHORARRAY('Full Output'!$W$2),_xlfn.ANCHORARRAY('Full Output'!$E$2), INDEX(YearHeader_Discounted,, _xlpm.c),_xlfn.ANCHORARRAY('Full Output'!$B$2), INDEX(_xlpm.Activities, _xlpm.r))))))),
_xlpm.Output_Discounted, _xlfn.VSTACK(_xlfn.HSTACK("Activity", YearHeader_Discounted), _xlfn.HSTACK(_xlfn.VSTACK(_xlpm.Activities, "Total"), DOLLAR(_xlfn.VSTACK(_xlpm.x, _xlfn.BYCOL(_xlpm.x, _xlfn.LAMBDA(_xlpm.c, SUM(_xlpm.c))))*_xlpm.Magnitude, $C$9))),
_xlpm.y, -_xlfn.MAKEARRAY(ROWS(_xlpm.Activities), Timeperiod+1, _xlfn.LAMBDA(_xlpm.r,_xlpm.c,
     IF(INDEX(YearHeader_Undiscounted,, _xlpm.c)="Total", SUMIFS(_xlfn.ANCHORARRAY('Full Output'!$R$2),_xlfn.ANCHORARRAY( 'Full Output'!$B$2), INDEX(_xlpm.Activities, _xlpm.r)),
     SUMIFS(_xlfn.ANCHORARRAY('Full Output'!$R$2),_xlfn.ANCHORARRAY( 'Full Output'!$E$2), INDEX(YearHeader_Undiscounted,, _xlpm.c),_xlfn.ANCHORARRAY( 'Full Output'!$B$2), INDEX(_xlpm.Activities, _xlpm.r))))),
_xlpm.Output_Undiscounted, _xlfn.VSTACK(_xlfn.HSTACK("Activity", YearHeader_Undiscounted), _xlfn.HSTACK(_xlfn.VSTACK(_xlpm.Activities, "Total"), DOLLAR(_xlfn.VSTACK(_xlpm.y, _xlfn.BYCOL(_xlpm.y, _xlfn.LAMBDA(_xlpm.c, SUM(_xlpm.c))))*_xlpm.Magnitude, $C$9))),
IFERROR(_xlfn.VSTACK("Discounted"&amp;_xlpm.Magnitude_text, "", _xlpm.Output_Discounted, "", "", "Undiscounted"&amp;_xlpm.Magnitude_text, "", _xlpm.Output_Undiscounted), ""))</f>
        <v/>
      </c>
    </row>
  </sheetData>
  <conditionalFormatting sqref="B15:CZ203">
    <cfRule type="expression" dxfId="28" priority="1">
      <formula>$B15="Total"</formula>
    </cfRule>
    <cfRule type="expression" dxfId="27" priority="2">
      <formula>OR($B15="Undiscounted", $B15="Undiscounted ($ millions)", $B15="Undiscounted ($ billions)")</formula>
    </cfRule>
    <cfRule type="expression" dxfId="26" priority="3">
      <formula>OR($B15="Discounted", $B15="Discounted ($ millions)", $B15="Discounted ($ billions)")</formula>
    </cfRule>
    <cfRule type="expression" dxfId="25" priority="4">
      <formula>$B15="Activity"</formula>
    </cfRule>
    <cfRule type="notContainsBlanks" dxfId="24" priority="5">
      <formula>LEN(TRIM(B15))&gt;0</formula>
    </cfRule>
  </conditionalFormatting>
  <dataValidations count="2">
    <dataValidation type="list" allowBlank="1" showInputMessage="1" showErrorMessage="1" sqref="C8" xr:uid="{33911ECE-E735-4281-AC04-5023BF046E61}">
      <formula1>"Single, Millions, Billions"</formula1>
    </dataValidation>
    <dataValidation type="list" allowBlank="1" showInputMessage="1" showErrorMessage="1" sqref="C9" xr:uid="{A508D99E-B10C-40FD-B22E-F6612B66D71C}">
      <formula1>"0, 1, 2, 3, 4"</formula1>
    </dataValidation>
  </dataValidations>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A434-BAE3-4084-A60F-A515E04FFF87}">
  <sheetPr codeName="Sheet11">
    <tabColor rgb="FFF4EE00"/>
  </sheetPr>
  <dimension ref="B2:C15"/>
  <sheetViews>
    <sheetView showGridLines="0" zoomScale="80" zoomScaleNormal="80" workbookViewId="0">
      <selection activeCell="B15" sqref="B15"/>
    </sheetView>
  </sheetViews>
  <sheetFormatPr defaultColWidth="9.109375" defaultRowHeight="13.2" x14ac:dyDescent="0.3"/>
  <cols>
    <col min="1" max="1" width="9.109375" style="45"/>
    <col min="2" max="2" width="29.33203125" style="92" customWidth="1"/>
    <col min="3" max="14" width="15.6640625" style="45" customWidth="1"/>
    <col min="15" max="16384" width="9.109375" style="45"/>
  </cols>
  <sheetData>
    <row r="2" spans="2:3" ht="15.6" x14ac:dyDescent="0.3">
      <c r="B2" s="89" t="s">
        <v>82</v>
      </c>
    </row>
    <row r="5" spans="2:3" x14ac:dyDescent="0.3">
      <c r="B5" s="104" t="s">
        <v>49</v>
      </c>
      <c r="C5" s="101">
        <f>PriceYear</f>
        <v>2023</v>
      </c>
    </row>
    <row r="6" spans="2:3" x14ac:dyDescent="0.3">
      <c r="B6" s="105" t="s">
        <v>50</v>
      </c>
      <c r="C6" s="102">
        <f>Discount</f>
        <v>7.0000000000000007E-2</v>
      </c>
    </row>
    <row r="7" spans="2:3" x14ac:dyDescent="0.3">
      <c r="B7" s="106" t="s">
        <v>79</v>
      </c>
      <c r="C7" s="103">
        <f>PVBaseYear</f>
        <v>2024</v>
      </c>
    </row>
    <row r="8" spans="2:3" x14ac:dyDescent="0.3">
      <c r="B8" s="141" t="s">
        <v>71</v>
      </c>
      <c r="C8" s="142" t="s">
        <v>72</v>
      </c>
    </row>
    <row r="9" spans="2:3" x14ac:dyDescent="0.3">
      <c r="B9" s="134" t="s">
        <v>73</v>
      </c>
      <c r="C9" s="135">
        <v>0</v>
      </c>
    </row>
    <row r="12" spans="2:3" x14ac:dyDescent="0.3">
      <c r="B12" s="144" t="s">
        <v>80</v>
      </c>
    </row>
    <row r="15" spans="2:3" x14ac:dyDescent="0.3">
      <c r="B15" s="92" t="str" cm="1">
        <f t="array" ref="B15">_xlfn.LET(
_xlpm.Magnitude, 1/10^IF($C$8="Millions", 6, IF($C$8="Billions", 9)),
_xlpm.Magnitude_text, IF($C$8="Millions", " ($ millions)", IF($C$8="Billions", " ($ billions)", "")),
_xlpm.output_discounted,
     _xlfn.LET(_xlpm.x, TRANSPOSE(_xlfn.MAKEARRAY(Timeperiod, StakeholderCols, _xlfn.LAMBDA(_xlpm.r,_xlpm.c,
     SUMIFS(INDEX(_xlfn.ANCHORARRAY('Full Output'!$AP$2), ,_xlpm.c+StakeholderCols),_xlfn.ANCHORARRAY( 'Full Output'!$E$2), INDEX(_xlfn.SEQUENCE(Timeperiod, , YearOfRegistration), _xlpm.r,))))),
     _xlpm.y, _xlfn.BYROW(_xlpm.x, _xlfn.LAMBDA(_xlpm.a, SUM(_xlpm.a))),
     _xlpm.w, _xlpm.y*AF,
     _xlpm.z, _xlfn.HSTACK(_xlpm.x, _xlpm.y, _xlpm.w),
     _xlpm.u, _xlfn.BYCOL(_xlpm.z, _xlfn.LAMBDA(_xlpm.b, SUM(_xlpm.b))),
     _xlpm.e, DOLLAR(-_xlfn.VSTACK(_xlpm.z, _xlpm.u)*_xlpm.Magnitude, $C$9),
     _xlfn.HSTACK(StakeholderGroupsTotal, _xlfn.VSTACK(YearHeader_Discounted, _xlpm.e))),
_xlpm.output_undiscounted,
     _xlfn.LET(_xlpm.x, TRANSPOSE(_xlfn.MAKEARRAY(Timeperiod, StakeholderCols, _xlfn.LAMBDA(_xlpm.r,_xlpm.c,
     SUMIFS(INDEX(_xlfn.ANCHORARRAY('Full Output'!$AP$2), ,_xlpm.c),_xlfn.ANCHORARRAY( 'Full Output'!$E$2), INDEX(_xlfn.SEQUENCE(Timeperiod, , YearOfRegistration), _xlpm.r,))))),
     _xlpm.y, _xlfn.BYROW(_xlpm.x, _xlfn.LAMBDA(_xlpm.a, SUM(_xlpm.a))),
     _xlpm.z, _xlfn.HSTACK(_xlpm.x, _xlpm.y),
     _xlpm.u, _xlfn.BYCOL(_xlpm.z, _xlfn.LAMBDA(_xlpm.b, SUM(_xlpm.b))),
     _xlpm.e, DOLLAR(-_xlfn.VSTACK(_xlpm.z, _xlpm.u)*_xlpm.Magnitude, $C$9),
     _xlfn.HSTACK(StakeholderGroupsTotal, _xlfn.VSTACK(YearHeader_Undiscounted, _xlpm.e))),
IFERROR(_xlfn.VSTACK("Discounted"&amp;_xlpm.Magnitude_text, "", _xlpm.output_discounted, "", "", "Undiscounted"&amp;_xlpm.Magnitude_text, "", _xlpm.output_undiscounted), ""))</f>
        <v/>
      </c>
    </row>
  </sheetData>
  <conditionalFormatting sqref="B15:CJ403">
    <cfRule type="expression" dxfId="23" priority="1">
      <formula>OR($B15="Undiscounted", $B15="Undiscounted ($ millions)", $B15="Undiscounted ($ billions)")</formula>
    </cfRule>
    <cfRule type="expression" dxfId="22" priority="2">
      <formula>OR($B15="Discounted", $B15="Discounted ($ millions)", $B15="Discounted ($ billions)")</formula>
    </cfRule>
    <cfRule type="expression" dxfId="21" priority="3">
      <formula>$B15="Total"</formula>
    </cfRule>
    <cfRule type="expression" dxfId="20" priority="4">
      <formula>$B15="Stakeholder Group"</formula>
    </cfRule>
    <cfRule type="notContainsBlanks" dxfId="19" priority="5">
      <formula>LEN(TRIM(B15))&gt;0</formula>
    </cfRule>
  </conditionalFormatting>
  <dataValidations count="2">
    <dataValidation type="list" allowBlank="1" showInputMessage="1" showErrorMessage="1" sqref="C9" xr:uid="{77A1A692-4830-4241-9955-C37685488C40}">
      <formula1>"0, 1, 2, 3, 4"</formula1>
    </dataValidation>
    <dataValidation type="list" allowBlank="1" showInputMessage="1" showErrorMessage="1" sqref="C8" xr:uid="{2D1CF8B9-B73A-4BCA-85EC-CB482BEA9845}">
      <formula1>"Single, Millions, Billions"</formula1>
    </dataValidation>
  </dataValidations>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1B5B5-2777-4837-ADE6-5629277B427F}">
  <sheetPr codeName="Sheet14">
    <tabColor rgb="FFFFC000"/>
  </sheetPr>
  <dimension ref="B2:F67"/>
  <sheetViews>
    <sheetView showGridLines="0" zoomScale="80" zoomScaleNormal="80" workbookViewId="0">
      <pane ySplit="14" topLeftCell="A52" activePane="bottomLeft" state="frozen"/>
      <selection activeCell="R28" sqref="R28"/>
      <selection pane="bottomLeft" activeCell="C66" sqref="C66"/>
    </sheetView>
  </sheetViews>
  <sheetFormatPr defaultColWidth="9.109375" defaultRowHeight="11.4" x14ac:dyDescent="0.2"/>
  <cols>
    <col min="1" max="1" width="2.88671875" style="16" customWidth="1"/>
    <col min="2" max="2" width="11.88671875" style="178" customWidth="1"/>
    <col min="3" max="3" width="80.6640625" style="16" customWidth="1"/>
    <col min="4" max="4" width="16.6640625" style="16" customWidth="1"/>
    <col min="5" max="5" width="26.88671875" style="16" customWidth="1"/>
    <col min="6" max="6" width="27.33203125" style="16" customWidth="1"/>
    <col min="7" max="7" width="4.6640625" style="16" customWidth="1"/>
    <col min="8" max="16384" width="9.109375" style="16"/>
  </cols>
  <sheetData>
    <row r="2" spans="2:6" ht="13.8" x14ac:dyDescent="0.25">
      <c r="B2" s="177"/>
      <c r="C2" s="170" t="s">
        <v>273</v>
      </c>
    </row>
    <row r="3" spans="2:6" ht="12" x14ac:dyDescent="0.25">
      <c r="B3" s="177"/>
      <c r="C3" s="68"/>
    </row>
    <row r="4" spans="2:6" x14ac:dyDescent="0.2">
      <c r="C4" s="69"/>
      <c r="D4" s="70"/>
    </row>
    <row r="5" spans="2:6" x14ac:dyDescent="0.2">
      <c r="D5" s="70"/>
    </row>
    <row r="6" spans="2:6" x14ac:dyDescent="0.2">
      <c r="C6" s="70"/>
      <c r="D6" s="70"/>
    </row>
    <row r="7" spans="2:6" x14ac:dyDescent="0.2">
      <c r="C7" s="70"/>
      <c r="D7" s="70"/>
    </row>
    <row r="8" spans="2:6" x14ac:dyDescent="0.2">
      <c r="C8" s="70"/>
      <c r="D8" s="70"/>
    </row>
    <row r="9" spans="2:6" x14ac:dyDescent="0.2">
      <c r="C9" s="69"/>
    </row>
    <row r="10" spans="2:6" x14ac:dyDescent="0.2">
      <c r="C10" s="69"/>
    </row>
    <row r="11" spans="2:6" x14ac:dyDescent="0.2">
      <c r="C11" s="69"/>
    </row>
    <row r="12" spans="2:6" x14ac:dyDescent="0.2">
      <c r="C12" s="69"/>
    </row>
    <row r="13" spans="2:6" x14ac:dyDescent="0.2">
      <c r="C13" s="70"/>
    </row>
    <row r="14" spans="2:6" ht="24" x14ac:dyDescent="0.2">
      <c r="B14" s="178" t="str" cm="1">
        <f t="array" ref="B14:B67">TypeHere_Wages</f>
        <v/>
      </c>
      <c r="C14" s="63" t="s">
        <v>83</v>
      </c>
      <c r="D14" s="64" t="s">
        <v>84</v>
      </c>
      <c r="E14" s="64" t="s">
        <v>85</v>
      </c>
      <c r="F14" s="116" t="s">
        <v>86</v>
      </c>
    </row>
    <row r="15" spans="2:6" x14ac:dyDescent="0.2">
      <c r="B15" s="178" t="str">
        <v/>
      </c>
      <c r="C15" s="119" t="s">
        <v>87</v>
      </c>
      <c r="D15" s="120">
        <v>2021</v>
      </c>
      <c r="E15" s="117">
        <v>30.03</v>
      </c>
      <c r="F15" s="117">
        <f>IFERROR(tbl_Wages[[#This Row],[Wage in price year of data source (without overhead)]]*INDEX(tbl_CPI[Index], MATCH(PriceYear, tbl_CPI[Year], 0))/INDEX(tbl_CPI[Index], MATCH(tbl_Wages[[#This Row],[Price year of data source]], tbl_CPI[Year], 0)), "")</f>
        <v>33.317182203389827</v>
      </c>
    </row>
    <row r="16" spans="2:6" x14ac:dyDescent="0.2">
      <c r="B16" s="178" t="str">
        <v/>
      </c>
      <c r="C16" s="119" t="s">
        <v>88</v>
      </c>
      <c r="D16" s="120">
        <v>2021</v>
      </c>
      <c r="E16" s="117">
        <v>49</v>
      </c>
      <c r="F16" s="117">
        <f>IFERROR(tbl_Wages[[#This Row],[Wage in price year of data source (without overhead)]]*INDEX(tbl_CPI[Index], MATCH(PriceYear, tbl_CPI[Year], 0))/INDEX(tbl_CPI[Index], MATCH(tbl_Wages[[#This Row],[Price year of data source]], tbl_CPI[Year], 0)), "")</f>
        <v>54.363700564971751</v>
      </c>
    </row>
    <row r="17" spans="2:6" x14ac:dyDescent="0.2">
      <c r="B17" s="178" t="str">
        <v/>
      </c>
      <c r="C17" s="119" t="s">
        <v>89</v>
      </c>
      <c r="D17" s="120">
        <v>2021</v>
      </c>
      <c r="E17" s="117">
        <v>57.52</v>
      </c>
      <c r="F17" s="117">
        <f>IFERROR(tbl_Wages[[#This Row],[Wage in price year of data source (without overhead)]]*INDEX(tbl_CPI[Index], MATCH(PriceYear, tbl_CPI[Year], 0))/INDEX(tbl_CPI[Index], MATCH(tbl_Wages[[#This Row],[Price year of data source]], tbl_CPI[Year], 0)), "")</f>
        <v>63.816327683615818</v>
      </c>
    </row>
    <row r="18" spans="2:6" x14ac:dyDescent="0.2">
      <c r="B18" s="178" t="str">
        <v/>
      </c>
      <c r="C18" s="119" t="s">
        <v>90</v>
      </c>
      <c r="D18" s="120">
        <v>2021</v>
      </c>
      <c r="E18" s="117">
        <v>52.98</v>
      </c>
      <c r="F18" s="117">
        <f>IFERROR(tbl_Wages[[#This Row],[Wage in price year of data source (without overhead)]]*INDEX(tbl_CPI[Index], MATCH(PriceYear, tbl_CPI[Year], 0))/INDEX(tbl_CPI[Index], MATCH(tbl_Wages[[#This Row],[Price year of data source]], tbl_CPI[Year], 0)), "")</f>
        <v>58.779364406779656</v>
      </c>
    </row>
    <row r="19" spans="2:6" x14ac:dyDescent="0.2">
      <c r="B19" s="178" t="str">
        <v/>
      </c>
      <c r="C19" s="119" t="s">
        <v>91</v>
      </c>
      <c r="D19" s="120">
        <v>2021</v>
      </c>
      <c r="E19" s="117">
        <v>39.28</v>
      </c>
      <c r="F19" s="117">
        <f>IFERROR(tbl_Wages[[#This Row],[Wage in price year of data source (without overhead)]]*INDEX(tbl_CPI[Index], MATCH(PriceYear, tbl_CPI[Year], 0))/INDEX(tbl_CPI[Index], MATCH(tbl_Wages[[#This Row],[Price year of data source]], tbl_CPI[Year], 0)), "")</f>
        <v>43.579717514124297</v>
      </c>
    </row>
    <row r="20" spans="2:6" x14ac:dyDescent="0.2">
      <c r="B20" s="178" t="str">
        <v/>
      </c>
      <c r="C20" s="119" t="s">
        <v>92</v>
      </c>
      <c r="D20" s="120">
        <v>2021</v>
      </c>
      <c r="E20" s="117">
        <v>46.16</v>
      </c>
      <c r="F20" s="117">
        <f>IFERROR(tbl_Wages[[#This Row],[Wage in price year of data source (without overhead)]]*INDEX(tbl_CPI[Index], MATCH(PriceYear, tbl_CPI[Year], 0))/INDEX(tbl_CPI[Index], MATCH(tbl_Wages[[#This Row],[Price year of data source]], tbl_CPI[Year], 0)), "")</f>
        <v>51.21282485875706</v>
      </c>
    </row>
    <row r="21" spans="2:6" x14ac:dyDescent="0.2">
      <c r="B21" s="178" t="str">
        <v/>
      </c>
      <c r="C21" s="119" t="s">
        <v>93</v>
      </c>
      <c r="D21" s="120">
        <v>2021</v>
      </c>
      <c r="E21" s="117">
        <v>29.87</v>
      </c>
      <c r="F21" s="117">
        <f>IFERROR(tbl_Wages[[#This Row],[Wage in price year of data source (without overhead)]]*INDEX(tbl_CPI[Index], MATCH(PriceYear, tbl_CPI[Year], 0))/INDEX(tbl_CPI[Index], MATCH(tbl_Wages[[#This Row],[Price year of data source]], tbl_CPI[Year], 0)), "")</f>
        <v>33.139668079096047</v>
      </c>
    </row>
    <row r="22" spans="2:6" x14ac:dyDescent="0.2">
      <c r="B22" s="178" t="str">
        <v/>
      </c>
      <c r="C22" s="119" t="s">
        <v>94</v>
      </c>
      <c r="D22" s="120">
        <v>2021</v>
      </c>
      <c r="E22" s="117">
        <v>39.11</v>
      </c>
      <c r="F22" s="117">
        <f>IFERROR(tbl_Wages[[#This Row],[Wage in price year of data source (without overhead)]]*INDEX(tbl_CPI[Index], MATCH(PriceYear, tbl_CPI[Year], 0))/INDEX(tbl_CPI[Index], MATCH(tbl_Wages[[#This Row],[Price year of data source]], tbl_CPI[Year], 0)), "")</f>
        <v>43.391108757062149</v>
      </c>
    </row>
    <row r="23" spans="2:6" x14ac:dyDescent="0.2">
      <c r="B23" s="178" t="str">
        <v/>
      </c>
      <c r="C23" s="119" t="s">
        <v>95</v>
      </c>
      <c r="D23" s="120">
        <v>2021</v>
      </c>
      <c r="E23" s="117">
        <v>28.89</v>
      </c>
      <c r="F23" s="117">
        <f>IFERROR(tbl_Wages[[#This Row],[Wage in price year of data source (without overhead)]]*INDEX(tbl_CPI[Index], MATCH(PriceYear, tbl_CPI[Year], 0))/INDEX(tbl_CPI[Index], MATCH(tbl_Wages[[#This Row],[Price year of data source]], tbl_CPI[Year], 0)), "")</f>
        <v>32.052394067796612</v>
      </c>
    </row>
    <row r="24" spans="2:6" x14ac:dyDescent="0.2">
      <c r="B24" s="178" t="str">
        <v/>
      </c>
      <c r="C24" s="119" t="s">
        <v>96</v>
      </c>
      <c r="D24" s="120">
        <v>2021</v>
      </c>
      <c r="E24" s="117">
        <v>29.32</v>
      </c>
      <c r="F24" s="117">
        <f>IFERROR(tbl_Wages[[#This Row],[Wage in price year of data source (without overhead)]]*INDEX(tbl_CPI[Index], MATCH(PriceYear, tbl_CPI[Year], 0))/INDEX(tbl_CPI[Index], MATCH(tbl_Wages[[#This Row],[Price year of data source]], tbl_CPI[Year], 0)), "")</f>
        <v>32.529463276836154</v>
      </c>
    </row>
    <row r="25" spans="2:6" x14ac:dyDescent="0.2">
      <c r="B25" s="178" t="str">
        <v/>
      </c>
      <c r="C25" s="119" t="s">
        <v>97</v>
      </c>
      <c r="D25" s="120">
        <v>2021</v>
      </c>
      <c r="E25" s="117">
        <v>23.37</v>
      </c>
      <c r="F25" s="117">
        <f>IFERROR(tbl_Wages[[#This Row],[Wage in price year of data source (without overhead)]]*INDEX(tbl_CPI[Index], MATCH(PriceYear, tbl_CPI[Year], 0))/INDEX(tbl_CPI[Index], MATCH(tbl_Wages[[#This Row],[Price year of data source]], tbl_CPI[Year], 0)), "")</f>
        <v>25.92815677966102</v>
      </c>
    </row>
    <row r="26" spans="2:6" x14ac:dyDescent="0.2">
      <c r="B26" s="178" t="str">
        <v/>
      </c>
      <c r="C26" s="119" t="s">
        <v>98</v>
      </c>
      <c r="D26" s="120">
        <v>2021</v>
      </c>
      <c r="E26" s="117">
        <v>23.84</v>
      </c>
      <c r="F26" s="117">
        <f>IFERROR(tbl_Wages[[#This Row],[Wage in price year of data source (without overhead)]]*INDEX(tbl_CPI[Index], MATCH(PriceYear, tbl_CPI[Year], 0))/INDEX(tbl_CPI[Index], MATCH(tbl_Wages[[#This Row],[Price year of data source]], tbl_CPI[Year], 0)), "")</f>
        <v>26.44960451977401</v>
      </c>
    </row>
    <row r="27" spans="2:6" x14ac:dyDescent="0.2">
      <c r="B27" s="178" t="str">
        <v/>
      </c>
      <c r="C27" s="119" t="s">
        <v>99</v>
      </c>
      <c r="D27" s="120">
        <v>2021</v>
      </c>
      <c r="E27" s="117">
        <v>39.99</v>
      </c>
      <c r="F27" s="117">
        <f>IFERROR(tbl_Wages[[#This Row],[Wage in price year of data source (without overhead)]]*INDEX(tbl_CPI[Index], MATCH(PriceYear, tbl_CPI[Year], 0))/INDEX(tbl_CPI[Index], MATCH(tbl_Wages[[#This Row],[Price year of data source]], tbl_CPI[Year], 0)), "")</f>
        <v>44.36743644067797</v>
      </c>
    </row>
    <row r="28" spans="2:6" x14ac:dyDescent="0.2">
      <c r="B28" s="178" t="str">
        <v/>
      </c>
      <c r="C28" s="119" t="s">
        <v>100</v>
      </c>
      <c r="D28" s="120">
        <v>2021</v>
      </c>
      <c r="E28" s="117">
        <v>43.84</v>
      </c>
      <c r="F28" s="117">
        <f>IFERROR(tbl_Wages[[#This Row],[Wage in price year of data source (without overhead)]]*INDEX(tbl_CPI[Index], MATCH(PriceYear, tbl_CPI[Year], 0))/INDEX(tbl_CPI[Index], MATCH(tbl_Wages[[#This Row],[Price year of data source]], tbl_CPI[Year], 0)), "")</f>
        <v>48.638870056497176</v>
      </c>
    </row>
    <row r="29" spans="2:6" x14ac:dyDescent="0.2">
      <c r="B29" s="178" t="str">
        <v/>
      </c>
      <c r="C29" s="119" t="s">
        <v>101</v>
      </c>
      <c r="D29" s="120">
        <v>2021</v>
      </c>
      <c r="E29" s="117">
        <v>33.28</v>
      </c>
      <c r="F29" s="117">
        <f>IFERROR(tbl_Wages[[#This Row],[Wage in price year of data source (without overhead)]]*INDEX(tbl_CPI[Index], MATCH(PriceYear, tbl_CPI[Year], 0))/INDEX(tbl_CPI[Index], MATCH(tbl_Wages[[#This Row],[Price year of data source]], tbl_CPI[Year], 0)), "")</f>
        <v>36.922937853107342</v>
      </c>
    </row>
    <row r="30" spans="2:6" x14ac:dyDescent="0.2">
      <c r="B30" s="178" t="str">
        <v/>
      </c>
      <c r="C30" s="119" t="s">
        <v>102</v>
      </c>
      <c r="D30" s="120">
        <v>2021</v>
      </c>
      <c r="E30" s="117">
        <v>31.85</v>
      </c>
      <c r="F30" s="117">
        <f>IFERROR(tbl_Wages[[#This Row],[Wage in price year of data source (without overhead)]]*INDEX(tbl_CPI[Index], MATCH(PriceYear, tbl_CPI[Year], 0))/INDEX(tbl_CPI[Index], MATCH(tbl_Wages[[#This Row],[Price year of data source]], tbl_CPI[Year], 0)), "")</f>
        <v>35.336405367231642</v>
      </c>
    </row>
    <row r="31" spans="2:6" x14ac:dyDescent="0.2">
      <c r="B31" s="178" t="str">
        <v/>
      </c>
      <c r="C31" s="119" t="s">
        <v>103</v>
      </c>
      <c r="D31" s="120">
        <v>2021</v>
      </c>
      <c r="E31" s="117">
        <v>39.590000000000003</v>
      </c>
      <c r="F31" s="117">
        <f>IFERROR(tbl_Wages[[#This Row],[Wage in price year of data source (without overhead)]]*INDEX(tbl_CPI[Index], MATCH(PriceYear, tbl_CPI[Year], 0))/INDEX(tbl_CPI[Index], MATCH(tbl_Wages[[#This Row],[Price year of data source]], tbl_CPI[Year], 0)), "")</f>
        <v>43.923651129943501</v>
      </c>
    </row>
    <row r="32" spans="2:6" x14ac:dyDescent="0.2">
      <c r="B32" s="178" t="str">
        <v/>
      </c>
      <c r="C32" s="119" t="s">
        <v>104</v>
      </c>
      <c r="D32" s="120">
        <v>2021</v>
      </c>
      <c r="E32" s="117">
        <v>41.61</v>
      </c>
      <c r="F32" s="117">
        <f>IFERROR(tbl_Wages[[#This Row],[Wage in price year of data source (without overhead)]]*INDEX(tbl_CPI[Index], MATCH(PriceYear, tbl_CPI[Year], 0))/INDEX(tbl_CPI[Index], MATCH(tbl_Wages[[#This Row],[Price year of data source]], tbl_CPI[Year], 0)), "")</f>
        <v>46.164766949152543</v>
      </c>
    </row>
    <row r="33" spans="2:6" x14ac:dyDescent="0.2">
      <c r="B33" s="178" t="str">
        <v/>
      </c>
      <c r="C33" s="119" t="s">
        <v>105</v>
      </c>
      <c r="D33" s="120">
        <v>2021</v>
      </c>
      <c r="E33" s="117">
        <v>29.79</v>
      </c>
      <c r="F33" s="117">
        <f>IFERROR(tbl_Wages[[#This Row],[Wage in price year of data source (without overhead)]]*INDEX(tbl_CPI[Index], MATCH(PriceYear, tbl_CPI[Year], 0))/INDEX(tbl_CPI[Index], MATCH(tbl_Wages[[#This Row],[Price year of data source]], tbl_CPI[Year], 0)), "")</f>
        <v>33.050911016949151</v>
      </c>
    </row>
    <row r="34" spans="2:6" x14ac:dyDescent="0.2">
      <c r="B34" s="178" t="str">
        <v/>
      </c>
      <c r="C34" s="119" t="s">
        <v>106</v>
      </c>
      <c r="D34" s="120">
        <v>2021</v>
      </c>
      <c r="E34" s="117">
        <v>22.16</v>
      </c>
      <c r="F34" s="117">
        <f>IFERROR(tbl_Wages[[#This Row],[Wage in price year of data source (without overhead)]]*INDEX(tbl_CPI[Index], MATCH(PriceYear, tbl_CPI[Year], 0))/INDEX(tbl_CPI[Index], MATCH(tbl_Wages[[#This Row],[Price year of data source]], tbl_CPI[Year], 0)), "")</f>
        <v>24.585706214689264</v>
      </c>
    </row>
    <row r="35" spans="2:6" x14ac:dyDescent="0.2">
      <c r="B35" s="178" t="str">
        <v/>
      </c>
      <c r="C35" s="119" t="s">
        <v>107</v>
      </c>
      <c r="D35" s="120">
        <v>2021</v>
      </c>
      <c r="E35" s="117">
        <v>35.36</v>
      </c>
      <c r="F35" s="117">
        <f>IFERROR(tbl_Wages[[#This Row],[Wage in price year of data source (without overhead)]]*INDEX(tbl_CPI[Index], MATCH(PriceYear, tbl_CPI[Year], 0))/INDEX(tbl_CPI[Index], MATCH(tbl_Wages[[#This Row],[Price year of data source]], tbl_CPI[Year], 0)), "")</f>
        <v>39.23062146892655</v>
      </c>
    </row>
    <row r="36" spans="2:6" x14ac:dyDescent="0.2">
      <c r="B36" s="178" t="str">
        <v/>
      </c>
      <c r="C36" s="119" t="s">
        <v>108</v>
      </c>
      <c r="D36" s="120">
        <v>2021</v>
      </c>
      <c r="E36" s="117">
        <v>39.97</v>
      </c>
      <c r="F36" s="117">
        <f>IFERROR(tbl_Wages[[#This Row],[Wage in price year of data source (without overhead)]]*INDEX(tbl_CPI[Index], MATCH(PriceYear, tbl_CPI[Year], 0))/INDEX(tbl_CPI[Index], MATCH(tbl_Wages[[#This Row],[Price year of data source]], tbl_CPI[Year], 0)), "")</f>
        <v>44.345247175141239</v>
      </c>
    </row>
    <row r="37" spans="2:6" x14ac:dyDescent="0.2">
      <c r="B37" s="178" t="str">
        <v/>
      </c>
      <c r="C37" s="119" t="s">
        <v>109</v>
      </c>
      <c r="D37" s="120">
        <v>2021</v>
      </c>
      <c r="E37" s="117">
        <v>40.03</v>
      </c>
      <c r="F37" s="117">
        <f>IFERROR(tbl_Wages[[#This Row],[Wage in price year of data source (without overhead)]]*INDEX(tbl_CPI[Index], MATCH(PriceYear, tbl_CPI[Year], 0))/INDEX(tbl_CPI[Index], MATCH(tbl_Wages[[#This Row],[Price year of data source]], tbl_CPI[Year], 0)), "")</f>
        <v>44.411814971751411</v>
      </c>
    </row>
    <row r="38" spans="2:6" x14ac:dyDescent="0.2">
      <c r="B38" s="178" t="str">
        <v/>
      </c>
      <c r="C38" s="119" t="s">
        <v>110</v>
      </c>
      <c r="D38" s="120">
        <v>2021</v>
      </c>
      <c r="E38" s="117">
        <v>23.9</v>
      </c>
      <c r="F38" s="117">
        <f>IFERROR(tbl_Wages[[#This Row],[Wage in price year of data source (without overhead)]]*INDEX(tbl_CPI[Index], MATCH(PriceYear, tbl_CPI[Year], 0))/INDEX(tbl_CPI[Index], MATCH(tbl_Wages[[#This Row],[Price year of data source]], tbl_CPI[Year], 0)), "")</f>
        <v>26.516172316384178</v>
      </c>
    </row>
    <row r="39" spans="2:6" x14ac:dyDescent="0.2">
      <c r="B39" s="178" t="str">
        <v/>
      </c>
      <c r="C39" s="119" t="s">
        <v>111</v>
      </c>
      <c r="D39" s="120">
        <v>2021</v>
      </c>
      <c r="E39" s="117">
        <v>44.35</v>
      </c>
      <c r="F39" s="117">
        <f>IFERROR(tbl_Wages[[#This Row],[Wage in price year of data source (without overhead)]]*INDEX(tbl_CPI[Index], MATCH(PriceYear, tbl_CPI[Year], 0))/INDEX(tbl_CPI[Index], MATCH(tbl_Wages[[#This Row],[Price year of data source]], tbl_CPI[Year], 0)), "")</f>
        <v>49.204696327683621</v>
      </c>
    </row>
    <row r="40" spans="2:6" x14ac:dyDescent="0.2">
      <c r="B40" s="178" t="str">
        <v/>
      </c>
      <c r="C40" s="119" t="s">
        <v>112</v>
      </c>
      <c r="D40" s="120">
        <v>2021</v>
      </c>
      <c r="E40" s="117">
        <v>23.86</v>
      </c>
      <c r="F40" s="117">
        <f>IFERROR(tbl_Wages[[#This Row],[Wage in price year of data source (without overhead)]]*INDEX(tbl_CPI[Index], MATCH(PriceYear, tbl_CPI[Year], 0))/INDEX(tbl_CPI[Index], MATCH(tbl_Wages[[#This Row],[Price year of data source]], tbl_CPI[Year], 0)), "")</f>
        <v>26.471793785310734</v>
      </c>
    </row>
    <row r="41" spans="2:6" x14ac:dyDescent="0.2">
      <c r="B41" s="178" t="str">
        <v/>
      </c>
      <c r="C41" s="119" t="s">
        <v>113</v>
      </c>
      <c r="D41" s="120">
        <v>2021</v>
      </c>
      <c r="E41" s="117">
        <v>28.38</v>
      </c>
      <c r="F41" s="117">
        <f>IFERROR(tbl_Wages[[#This Row],[Wage in price year of data source (without overhead)]]*INDEX(tbl_CPI[Index], MATCH(PriceYear, tbl_CPI[Year], 0))/INDEX(tbl_CPI[Index], MATCH(tbl_Wages[[#This Row],[Price year of data source]], tbl_CPI[Year], 0)), "")</f>
        <v>31.486567796610167</v>
      </c>
    </row>
    <row r="42" spans="2:6" x14ac:dyDescent="0.2">
      <c r="B42" s="178" t="str">
        <v/>
      </c>
      <c r="C42" s="119" t="s">
        <v>114</v>
      </c>
      <c r="D42" s="120">
        <v>2021</v>
      </c>
      <c r="E42" s="117">
        <v>32.799999999999997</v>
      </c>
      <c r="F42" s="117">
        <f>IFERROR(tbl_Wages[[#This Row],[Wage in price year of data source (without overhead)]]*INDEX(tbl_CPI[Index], MATCH(PriceYear, tbl_CPI[Year], 0))/INDEX(tbl_CPI[Index], MATCH(tbl_Wages[[#This Row],[Price year of data source]], tbl_CPI[Year], 0)), "")</f>
        <v>36.390395480225983</v>
      </c>
    </row>
    <row r="43" spans="2:6" x14ac:dyDescent="0.2">
      <c r="B43" s="178" t="str">
        <v/>
      </c>
      <c r="C43" s="119" t="s">
        <v>115</v>
      </c>
      <c r="D43" s="120">
        <v>2021</v>
      </c>
      <c r="E43" s="117">
        <v>26.58</v>
      </c>
      <c r="F43" s="117">
        <f>IFERROR(tbl_Wages[[#This Row],[Wage in price year of data source (without overhead)]]*INDEX(tbl_CPI[Index], MATCH(PriceYear, tbl_CPI[Year], 0))/INDEX(tbl_CPI[Index], MATCH(tbl_Wages[[#This Row],[Price year of data source]], tbl_CPI[Year], 0)), "")</f>
        <v>29.489533898305083</v>
      </c>
    </row>
    <row r="44" spans="2:6" x14ac:dyDescent="0.2">
      <c r="B44" s="178" t="str">
        <v/>
      </c>
      <c r="C44" s="119" t="s">
        <v>116</v>
      </c>
      <c r="D44" s="120">
        <v>2021</v>
      </c>
      <c r="E44" s="117">
        <v>19.55</v>
      </c>
      <c r="F44" s="117">
        <f>IFERROR(tbl_Wages[[#This Row],[Wage in price year of data source (without overhead)]]*INDEX(tbl_CPI[Index], MATCH(PriceYear, tbl_CPI[Year], 0))/INDEX(tbl_CPI[Index], MATCH(tbl_Wages[[#This Row],[Price year of data source]], tbl_CPI[Year], 0)), "")</f>
        <v>21.690007062146893</v>
      </c>
    </row>
    <row r="45" spans="2:6" x14ac:dyDescent="0.2">
      <c r="B45" s="178" t="str">
        <v/>
      </c>
      <c r="C45" s="119" t="s">
        <v>117</v>
      </c>
      <c r="D45" s="120">
        <v>2021</v>
      </c>
      <c r="E45" s="117">
        <v>25.49</v>
      </c>
      <c r="F45" s="117">
        <f>IFERROR(tbl_Wages[[#This Row],[Wage in price year of data source (without overhead)]]*INDEX(tbl_CPI[Index], MATCH(PriceYear, tbl_CPI[Year], 0))/INDEX(tbl_CPI[Index], MATCH(tbl_Wages[[#This Row],[Price year of data source]], tbl_CPI[Year], 0)), "")</f>
        <v>28.280218926553673</v>
      </c>
    </row>
    <row r="46" spans="2:6" x14ac:dyDescent="0.2">
      <c r="B46" s="178" t="str">
        <v/>
      </c>
      <c r="C46" s="119" t="s">
        <v>118</v>
      </c>
      <c r="D46" s="120">
        <v>2021</v>
      </c>
      <c r="E46" s="117">
        <v>19.84</v>
      </c>
      <c r="F46" s="117">
        <f>IFERROR(tbl_Wages[[#This Row],[Wage in price year of data source (without overhead)]]*INDEX(tbl_CPI[Index], MATCH(PriceYear, tbl_CPI[Year], 0))/INDEX(tbl_CPI[Index], MATCH(tbl_Wages[[#This Row],[Price year of data source]], tbl_CPI[Year], 0)), "")</f>
        <v>22.01175141242938</v>
      </c>
    </row>
    <row r="47" spans="2:6" x14ac:dyDescent="0.2">
      <c r="B47" s="178" t="str">
        <v/>
      </c>
      <c r="C47" s="119" t="s">
        <v>119</v>
      </c>
      <c r="D47" s="120">
        <v>2021</v>
      </c>
      <c r="E47" s="117">
        <v>20.440000000000001</v>
      </c>
      <c r="F47" s="117">
        <f>IFERROR(tbl_Wages[[#This Row],[Wage in price year of data source (without overhead)]]*INDEX(tbl_CPI[Index], MATCH(PriceYear, tbl_CPI[Year], 0))/INDEX(tbl_CPI[Index], MATCH(tbl_Wages[[#This Row],[Price year of data source]], tbl_CPI[Year], 0)), "")</f>
        <v>22.677429378531077</v>
      </c>
    </row>
    <row r="48" spans="2:6" x14ac:dyDescent="0.2">
      <c r="B48" s="178" t="str">
        <v/>
      </c>
      <c r="C48" s="119" t="s">
        <v>120</v>
      </c>
      <c r="D48" s="120">
        <v>2021</v>
      </c>
      <c r="E48" s="117">
        <v>19.670000000000002</v>
      </c>
      <c r="F48" s="117">
        <f>IFERROR(tbl_Wages[[#This Row],[Wage in price year of data source (without overhead)]]*INDEX(tbl_CPI[Index], MATCH(PriceYear, tbl_CPI[Year], 0))/INDEX(tbl_CPI[Index], MATCH(tbl_Wages[[#This Row],[Price year of data source]], tbl_CPI[Year], 0)), "")</f>
        <v>21.823142655367235</v>
      </c>
    </row>
    <row r="49" spans="2:6" x14ac:dyDescent="0.2">
      <c r="B49" s="178" t="str">
        <v/>
      </c>
      <c r="C49" s="119" t="s">
        <v>121</v>
      </c>
      <c r="D49" s="120">
        <v>2021</v>
      </c>
      <c r="E49" s="117">
        <v>15.45</v>
      </c>
      <c r="F49" s="117">
        <f>IFERROR(tbl_Wages[[#This Row],[Wage in price year of data source (without overhead)]]*INDEX(tbl_CPI[Index], MATCH(PriceYear, tbl_CPI[Year], 0))/INDEX(tbl_CPI[Index], MATCH(tbl_Wages[[#This Row],[Price year of data source]], tbl_CPI[Year], 0)), "")</f>
        <v>17.141207627118643</v>
      </c>
    </row>
    <row r="50" spans="2:6" x14ac:dyDescent="0.2">
      <c r="B50" s="178" t="str">
        <v/>
      </c>
      <c r="C50" s="119" t="s">
        <v>122</v>
      </c>
      <c r="D50" s="120">
        <v>2021</v>
      </c>
      <c r="E50" s="117">
        <v>17.54</v>
      </c>
      <c r="F50" s="117">
        <f>IFERROR(tbl_Wages[[#This Row],[Wage in price year of data source (without overhead)]]*INDEX(tbl_CPI[Index], MATCH(PriceYear, tbl_CPI[Year], 0))/INDEX(tbl_CPI[Index], MATCH(tbl_Wages[[#This Row],[Price year of data source]], tbl_CPI[Year], 0)), "")</f>
        <v>19.459985875706213</v>
      </c>
    </row>
    <row r="51" spans="2:6" x14ac:dyDescent="0.2">
      <c r="B51" s="178" t="str">
        <v/>
      </c>
      <c r="C51" s="119" t="s">
        <v>123</v>
      </c>
      <c r="D51" s="120">
        <v>2021</v>
      </c>
      <c r="E51" s="117">
        <v>28.67</v>
      </c>
      <c r="F51" s="117">
        <f>IFERROR(tbl_Wages[[#This Row],[Wage in price year of data source (without overhead)]]*INDEX(tbl_CPI[Index], MATCH(PriceYear, tbl_CPI[Year], 0))/INDEX(tbl_CPI[Index], MATCH(tbl_Wages[[#This Row],[Price year of data source]], tbl_CPI[Year], 0)), "")</f>
        <v>31.808312146892654</v>
      </c>
    </row>
    <row r="52" spans="2:6" x14ac:dyDescent="0.2">
      <c r="B52" s="178" t="str">
        <v/>
      </c>
      <c r="C52" s="119" t="s">
        <v>124</v>
      </c>
      <c r="D52" s="120">
        <v>2021</v>
      </c>
      <c r="E52" s="117">
        <v>32.07</v>
      </c>
      <c r="F52" s="117">
        <f>IFERROR(tbl_Wages[[#This Row],[Wage in price year of data source (without overhead)]]*INDEX(tbl_CPI[Index], MATCH(PriceYear, tbl_CPI[Year], 0))/INDEX(tbl_CPI[Index], MATCH(tbl_Wages[[#This Row],[Price year of data source]], tbl_CPI[Year], 0)), "")</f>
        <v>35.580487288135593</v>
      </c>
    </row>
    <row r="53" spans="2:6" x14ac:dyDescent="0.2">
      <c r="B53" s="178" t="str">
        <v/>
      </c>
      <c r="C53" s="119" t="s">
        <v>125</v>
      </c>
      <c r="D53" s="120">
        <v>2021</v>
      </c>
      <c r="E53" s="117">
        <v>32.549999999999997</v>
      </c>
      <c r="F53" s="117">
        <f>IFERROR(tbl_Wages[[#This Row],[Wage in price year of data source (without overhead)]]*INDEX(tbl_CPI[Index], MATCH(PriceYear, tbl_CPI[Year], 0))/INDEX(tbl_CPI[Index], MATCH(tbl_Wages[[#This Row],[Price year of data source]], tbl_CPI[Year], 0)), "")</f>
        <v>36.113029661016945</v>
      </c>
    </row>
    <row r="54" spans="2:6" x14ac:dyDescent="0.2">
      <c r="B54" s="178" t="str">
        <v/>
      </c>
      <c r="C54" s="119" t="s">
        <v>126</v>
      </c>
      <c r="D54" s="120">
        <v>2021</v>
      </c>
      <c r="E54" s="117">
        <v>22.13</v>
      </c>
      <c r="F54" s="117">
        <f>IFERROR(tbl_Wages[[#This Row],[Wage in price year of data source (without overhead)]]*INDEX(tbl_CPI[Index], MATCH(PriceYear, tbl_CPI[Year], 0))/INDEX(tbl_CPI[Index], MATCH(tbl_Wages[[#This Row],[Price year of data source]], tbl_CPI[Year], 0)), "")</f>
        <v>24.552422316384177</v>
      </c>
    </row>
    <row r="55" spans="2:6" x14ac:dyDescent="0.2">
      <c r="B55" s="178" t="str">
        <v/>
      </c>
      <c r="C55" s="119" t="s">
        <v>127</v>
      </c>
      <c r="D55" s="120">
        <v>2021</v>
      </c>
      <c r="E55" s="117">
        <v>24.95</v>
      </c>
      <c r="F55" s="117">
        <f>IFERROR(tbl_Wages[[#This Row],[Wage in price year of data source (without overhead)]]*INDEX(tbl_CPI[Index], MATCH(PriceYear, tbl_CPI[Year], 0))/INDEX(tbl_CPI[Index], MATCH(tbl_Wages[[#This Row],[Price year of data source]], tbl_CPI[Year], 0)), "")</f>
        <v>27.681108757062145</v>
      </c>
    </row>
    <row r="56" spans="2:6" x14ac:dyDescent="0.2">
      <c r="B56" s="178" t="str">
        <v/>
      </c>
      <c r="C56" s="119" t="s">
        <v>128</v>
      </c>
      <c r="D56" s="120">
        <v>2021</v>
      </c>
      <c r="E56" s="117">
        <v>24.09</v>
      </c>
      <c r="F56" s="117">
        <f>IFERROR(tbl_Wages[[#This Row],[Wage in price year of data source (without overhead)]]*INDEX(tbl_CPI[Index], MATCH(PriceYear, tbl_CPI[Year], 0))/INDEX(tbl_CPI[Index], MATCH(tbl_Wages[[#This Row],[Price year of data source]], tbl_CPI[Year], 0)), "")</f>
        <v>26.726970338983051</v>
      </c>
    </row>
    <row r="57" spans="2:6" x14ac:dyDescent="0.2">
      <c r="B57" s="178" t="str">
        <v/>
      </c>
      <c r="C57" s="119" t="s">
        <v>129</v>
      </c>
      <c r="D57" s="120">
        <v>2021</v>
      </c>
      <c r="E57" s="117">
        <v>25.98</v>
      </c>
      <c r="F57" s="117">
        <f>IFERROR(tbl_Wages[[#This Row],[Wage in price year of data source (without overhead)]]*INDEX(tbl_CPI[Index], MATCH(PriceYear, tbl_CPI[Year], 0))/INDEX(tbl_CPI[Index], MATCH(tbl_Wages[[#This Row],[Price year of data source]], tbl_CPI[Year], 0)), "")</f>
        <v>28.82385593220339</v>
      </c>
    </row>
    <row r="58" spans="2:6" x14ac:dyDescent="0.2">
      <c r="B58" s="178" t="str">
        <v/>
      </c>
      <c r="C58" s="119" t="s">
        <v>130</v>
      </c>
      <c r="D58" s="120">
        <v>2021</v>
      </c>
      <c r="E58" s="117">
        <v>35.32</v>
      </c>
      <c r="F58" s="117">
        <f>IFERROR(tbl_Wages[[#This Row],[Wage in price year of data source (without overhead)]]*INDEX(tbl_CPI[Index], MATCH(PriceYear, tbl_CPI[Year], 0))/INDEX(tbl_CPI[Index], MATCH(tbl_Wages[[#This Row],[Price year of data source]], tbl_CPI[Year], 0)), "")</f>
        <v>39.186242937853109</v>
      </c>
    </row>
    <row r="59" spans="2:6" x14ac:dyDescent="0.2">
      <c r="B59" s="178" t="str">
        <v/>
      </c>
      <c r="C59" s="119" t="s">
        <v>131</v>
      </c>
      <c r="D59" s="120">
        <v>2021</v>
      </c>
      <c r="E59" s="117">
        <v>20.99</v>
      </c>
      <c r="F59" s="117">
        <f>IFERROR(tbl_Wages[[#This Row],[Wage in price year of data source (without overhead)]]*INDEX(tbl_CPI[Index], MATCH(PriceYear, tbl_CPI[Year], 0))/INDEX(tbl_CPI[Index], MATCH(tbl_Wages[[#This Row],[Price year of data source]], tbl_CPI[Year], 0)), "")</f>
        <v>23.28763418079096</v>
      </c>
    </row>
    <row r="60" spans="2:6" x14ac:dyDescent="0.2">
      <c r="B60" s="178" t="str">
        <v/>
      </c>
      <c r="C60" s="119" t="s">
        <v>132</v>
      </c>
      <c r="D60" s="120">
        <v>2021</v>
      </c>
      <c r="E60" s="117">
        <v>21.16</v>
      </c>
      <c r="F60" s="117">
        <f>IFERROR(tbl_Wages[[#This Row],[Wage in price year of data source (without overhead)]]*INDEX(tbl_CPI[Index], MATCH(PriceYear, tbl_CPI[Year], 0))/INDEX(tbl_CPI[Index], MATCH(tbl_Wages[[#This Row],[Price year of data source]], tbl_CPI[Year], 0)), "")</f>
        <v>23.476242937853108</v>
      </c>
    </row>
    <row r="61" spans="2:6" x14ac:dyDescent="0.2">
      <c r="B61" s="178" t="str">
        <v/>
      </c>
      <c r="C61" s="119" t="s">
        <v>133</v>
      </c>
      <c r="D61" s="120">
        <v>2021</v>
      </c>
      <c r="E61" s="117">
        <v>24.85</v>
      </c>
      <c r="F61" s="117">
        <f>IFERROR(tbl_Wages[[#This Row],[Wage in price year of data source (without overhead)]]*INDEX(tbl_CPI[Index], MATCH(PriceYear, tbl_CPI[Year], 0))/INDEX(tbl_CPI[Index], MATCH(tbl_Wages[[#This Row],[Price year of data source]], tbl_CPI[Year], 0)), "")</f>
        <v>27.570162429378531</v>
      </c>
    </row>
    <row r="62" spans="2:6" x14ac:dyDescent="0.2">
      <c r="B62" s="178" t="str">
        <v/>
      </c>
      <c r="C62" s="119" t="s">
        <v>134</v>
      </c>
      <c r="D62" s="120">
        <v>2021</v>
      </c>
      <c r="E62" s="117">
        <v>35.049999999999997</v>
      </c>
      <c r="F62" s="117">
        <f>IFERROR(tbl_Wages[[#This Row],[Wage in price year of data source (without overhead)]]*INDEX(tbl_CPI[Index], MATCH(PriceYear, tbl_CPI[Year], 0))/INDEX(tbl_CPI[Index], MATCH(tbl_Wages[[#This Row],[Price year of data source]], tbl_CPI[Year], 0)), "")</f>
        <v>38.88668785310734</v>
      </c>
    </row>
    <row r="63" spans="2:6" x14ac:dyDescent="0.2">
      <c r="B63" s="178" t="str">
        <v/>
      </c>
      <c r="C63" s="119" t="s">
        <v>135</v>
      </c>
      <c r="D63" s="120">
        <v>2021</v>
      </c>
      <c r="E63" s="117">
        <v>22.37</v>
      </c>
      <c r="F63" s="117">
        <f>IFERROR(tbl_Wages[[#This Row],[Wage in price year of data source (without overhead)]]*INDEX(tbl_CPI[Index], MATCH(PriceYear, tbl_CPI[Year], 0))/INDEX(tbl_CPI[Index], MATCH(tbl_Wages[[#This Row],[Price year of data source]], tbl_CPI[Year], 0)), "")</f>
        <v>24.818693502824861</v>
      </c>
    </row>
    <row r="64" spans="2:6" x14ac:dyDescent="0.2">
      <c r="B64" s="178" t="str">
        <v/>
      </c>
      <c r="C64" s="119" t="s">
        <v>136</v>
      </c>
      <c r="D64" s="120">
        <v>2021</v>
      </c>
      <c r="E64" s="117">
        <v>22.94</v>
      </c>
      <c r="F64" s="117">
        <f>IFERROR(tbl_Wages[[#This Row],[Wage in price year of data source (without overhead)]]*INDEX(tbl_CPI[Index], MATCH(PriceYear, tbl_CPI[Year], 0))/INDEX(tbl_CPI[Index], MATCH(tbl_Wages[[#This Row],[Price year of data source]], tbl_CPI[Year], 0)), "")</f>
        <v>25.451087570621471</v>
      </c>
    </row>
    <row r="65" spans="2:6" x14ac:dyDescent="0.2">
      <c r="B65" s="178" t="str">
        <v/>
      </c>
      <c r="C65" s="121" t="s">
        <v>137</v>
      </c>
      <c r="D65" s="120">
        <v>2021</v>
      </c>
      <c r="E65" s="117">
        <v>19.61</v>
      </c>
      <c r="F65" s="118">
        <f>IFERROR(tbl_Wages[[#This Row],[Wage in price year of data source (without overhead)]]*INDEX(tbl_CPI[Index], MATCH(PriceYear, tbl_CPI[Year], 0))/INDEX(tbl_CPI[Index], MATCH(tbl_Wages[[#This Row],[Price year of data source]], tbl_CPI[Year], 0)), "")</f>
        <v>21.756574858757062</v>
      </c>
    </row>
    <row r="66" spans="2:6" x14ac:dyDescent="0.2">
      <c r="B66" s="178" t="str">
        <v>Type Here ⮚</v>
      </c>
      <c r="C66" s="65"/>
      <c r="D66" s="66"/>
      <c r="E66" s="67"/>
      <c r="F66" s="117" t="str">
        <f>IFERROR(tbl_Wages[[#This Row],[Wage in price year of data source (without overhead)]]*INDEX(tbl_CPI[Index], MATCH(PriceYear, tbl_CPI[Year], 0))/INDEX(tbl_CPI[Index], MATCH(tbl_Wages[[#This Row],[Price year of data source]], tbl_CPI[Year], 0)), "")</f>
        <v/>
      </c>
    </row>
    <row r="67" spans="2:6" x14ac:dyDescent="0.2">
      <c r="B67" s="178" t="str">
        <v/>
      </c>
    </row>
  </sheetData>
  <hyperlinks>
    <hyperlink ref="C2" r:id="rId1" xr:uid="{0CE5D298-E226-48E4-90B7-38EE3A92C6FE}"/>
  </hyperlinks>
  <pageMargins left="0.7" right="0.7" top="0.75" bottom="0.75" header="0.3" footer="0.3"/>
  <pageSetup orientation="portrait" horizontalDpi="90" verticalDpi="90" r:id="rId2"/>
  <ignoredErrors>
    <ignoredError sqref="D15:D41" listDataValidation="1"/>
  </ignoredErrors>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7A598DB7-9598-4A9C-9D02-5EF9D214A73D}">
          <x14:formula1>
            <xm:f>_xlfn.ANCHORARRAY(Controls!$F$2)</xm:f>
          </x14:formula1>
          <xm:sqref>D15:D66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DEB1-7AD2-46F4-9814-0585A8478F59}">
  <sheetPr codeName="Sheet13">
    <tabColor rgb="FFFFC000"/>
  </sheetPr>
  <dimension ref="B2:D37"/>
  <sheetViews>
    <sheetView showGridLines="0" zoomScale="80" zoomScaleNormal="80" workbookViewId="0"/>
  </sheetViews>
  <sheetFormatPr defaultColWidth="9.109375" defaultRowHeight="11.4" x14ac:dyDescent="0.2"/>
  <cols>
    <col min="1" max="1" width="2.44140625" style="16" customWidth="1"/>
    <col min="2" max="2" width="12.109375" style="16" customWidth="1"/>
    <col min="3" max="3" width="11" style="16" customWidth="1"/>
    <col min="4" max="4" width="11.5546875" style="16" customWidth="1"/>
    <col min="5" max="5" width="15.44140625" style="16" customWidth="1"/>
    <col min="6" max="6" width="11.33203125" style="16" bestFit="1" customWidth="1"/>
    <col min="7" max="7" width="15.5546875" style="16" customWidth="1"/>
    <col min="8" max="16384" width="9.109375" style="16"/>
  </cols>
  <sheetData>
    <row r="2" spans="2:4" ht="12" x14ac:dyDescent="0.25">
      <c r="C2" s="81" t="s">
        <v>138</v>
      </c>
    </row>
    <row r="14" spans="2:4" ht="12" x14ac:dyDescent="0.2">
      <c r="C14" s="82" t="s">
        <v>139</v>
      </c>
      <c r="D14" s="83" t="s">
        <v>140</v>
      </c>
    </row>
    <row r="15" spans="2:4" x14ac:dyDescent="0.2">
      <c r="B15" s="16" t="str" cm="1">
        <f t="array" ref="B15:B37">_xlfn.VSTACK(IF(tbl_CPI[Year]=tbl_CPI[Year], ""), "Type Here ⮚")</f>
        <v/>
      </c>
      <c r="C15" s="84">
        <v>2002</v>
      </c>
      <c r="D15" s="85">
        <v>100</v>
      </c>
    </row>
    <row r="16" spans="2:4" x14ac:dyDescent="0.2">
      <c r="B16" s="16" t="str">
        <v/>
      </c>
      <c r="C16" s="84">
        <v>2003</v>
      </c>
      <c r="D16" s="85">
        <v>102.8</v>
      </c>
    </row>
    <row r="17" spans="2:4" x14ac:dyDescent="0.2">
      <c r="B17" s="16" t="str">
        <v/>
      </c>
      <c r="C17" s="84">
        <v>2004</v>
      </c>
      <c r="D17" s="85">
        <v>104.7</v>
      </c>
    </row>
    <row r="18" spans="2:4" x14ac:dyDescent="0.2">
      <c r="B18" s="16" t="str">
        <v/>
      </c>
      <c r="C18" s="84">
        <v>2005</v>
      </c>
      <c r="D18" s="85">
        <v>107</v>
      </c>
    </row>
    <row r="19" spans="2:4" x14ac:dyDescent="0.2">
      <c r="B19" s="16" t="str">
        <v/>
      </c>
      <c r="C19" s="84">
        <v>2006</v>
      </c>
      <c r="D19" s="85">
        <v>109.1</v>
      </c>
    </row>
    <row r="20" spans="2:4" x14ac:dyDescent="0.2">
      <c r="B20" s="16" t="str">
        <v/>
      </c>
      <c r="C20" s="84">
        <v>2007</v>
      </c>
      <c r="D20" s="85">
        <v>111.5</v>
      </c>
    </row>
    <row r="21" spans="2:4" x14ac:dyDescent="0.2">
      <c r="B21" s="16" t="str">
        <v/>
      </c>
      <c r="C21" s="84">
        <v>2008</v>
      </c>
      <c r="D21" s="85">
        <v>114.1</v>
      </c>
    </row>
    <row r="22" spans="2:4" x14ac:dyDescent="0.2">
      <c r="B22" s="16" t="str">
        <v/>
      </c>
      <c r="C22" s="84">
        <v>2009</v>
      </c>
      <c r="D22" s="85">
        <v>114.4</v>
      </c>
    </row>
    <row r="23" spans="2:4" x14ac:dyDescent="0.2">
      <c r="B23" s="16" t="str">
        <v/>
      </c>
      <c r="C23" s="84">
        <v>2010</v>
      </c>
      <c r="D23" s="85">
        <v>116.5</v>
      </c>
    </row>
    <row r="24" spans="2:4" x14ac:dyDescent="0.2">
      <c r="B24" s="16" t="str">
        <v/>
      </c>
      <c r="C24" s="84">
        <v>2011</v>
      </c>
      <c r="D24" s="85">
        <v>119.9</v>
      </c>
    </row>
    <row r="25" spans="2:4" x14ac:dyDescent="0.2">
      <c r="B25" s="16" t="str">
        <v/>
      </c>
      <c r="C25" s="84">
        <v>2012</v>
      </c>
      <c r="D25" s="85">
        <v>121.7</v>
      </c>
    </row>
    <row r="26" spans="2:4" x14ac:dyDescent="0.2">
      <c r="B26" s="16" t="str">
        <v/>
      </c>
      <c r="C26" s="84">
        <v>2013</v>
      </c>
      <c r="D26" s="85">
        <v>122.8</v>
      </c>
    </row>
    <row r="27" spans="2:4" x14ac:dyDescent="0.2">
      <c r="B27" s="16" t="str">
        <v/>
      </c>
      <c r="C27" s="84">
        <v>2014</v>
      </c>
      <c r="D27" s="85">
        <v>125.2</v>
      </c>
    </row>
    <row r="28" spans="2:4" x14ac:dyDescent="0.2">
      <c r="B28" s="16" t="str">
        <v/>
      </c>
      <c r="C28" s="84">
        <v>2015</v>
      </c>
      <c r="D28" s="85">
        <v>126.6</v>
      </c>
    </row>
    <row r="29" spans="2:4" x14ac:dyDescent="0.2">
      <c r="B29" s="16" t="str">
        <v/>
      </c>
      <c r="C29" s="84">
        <v>2016</v>
      </c>
      <c r="D29" s="85">
        <v>128.4</v>
      </c>
    </row>
    <row r="30" spans="2:4" x14ac:dyDescent="0.2">
      <c r="B30" s="16" t="str">
        <v/>
      </c>
      <c r="C30" s="84">
        <v>2017</v>
      </c>
      <c r="D30" s="85">
        <v>130.4</v>
      </c>
    </row>
    <row r="31" spans="2:4" x14ac:dyDescent="0.2">
      <c r="B31" s="16" t="str">
        <v/>
      </c>
      <c r="C31" s="84">
        <v>2018</v>
      </c>
      <c r="D31" s="85">
        <v>133.4</v>
      </c>
    </row>
    <row r="32" spans="2:4" x14ac:dyDescent="0.2">
      <c r="B32" s="16" t="str">
        <v/>
      </c>
      <c r="C32" s="84">
        <v>2019</v>
      </c>
      <c r="D32" s="85">
        <v>136</v>
      </c>
    </row>
    <row r="33" spans="2:4" x14ac:dyDescent="0.2">
      <c r="B33" s="16" t="str">
        <v/>
      </c>
      <c r="C33" s="84">
        <v>2020</v>
      </c>
      <c r="D33" s="85">
        <v>137</v>
      </c>
    </row>
    <row r="34" spans="2:4" x14ac:dyDescent="0.2">
      <c r="B34" s="16" t="str">
        <v/>
      </c>
      <c r="C34" s="84">
        <v>2021</v>
      </c>
      <c r="D34" s="85">
        <v>141.6</v>
      </c>
    </row>
    <row r="35" spans="2:4" x14ac:dyDescent="0.2">
      <c r="B35" s="16" t="str">
        <v/>
      </c>
      <c r="C35" s="84">
        <v>2022</v>
      </c>
      <c r="D35" s="85">
        <v>151.19999999999999</v>
      </c>
    </row>
    <row r="36" spans="2:4" x14ac:dyDescent="0.2">
      <c r="B36" s="16" t="str">
        <v/>
      </c>
      <c r="C36" s="86">
        <v>2023</v>
      </c>
      <c r="D36" s="87">
        <v>157.1</v>
      </c>
    </row>
    <row r="37" spans="2:4" x14ac:dyDescent="0.2">
      <c r="B37" s="16" t="str">
        <v>Type Here ⮚</v>
      </c>
    </row>
  </sheetData>
  <hyperlinks>
    <hyperlink ref="C2" r:id="rId1" display="https://www150.statcan.gc.ca/t1/tbl1/en/tv.action?pid=1810000501" xr:uid="{9F734A7A-7CC9-4215-951F-9788C12C1C4F}"/>
  </hyperlinks>
  <pageMargins left="0.7" right="0.7" top="0.75" bottom="0.75" header="0.3" footer="0.3"/>
  <pageSetup orientation="portrait" horizontalDpi="90" verticalDpi="90" r:id="rId2"/>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51E5D-D603-4D5A-8517-87FDD7082D79}">
  <sheetPr codeName="Sheet5">
    <tabColor rgb="FFC00000"/>
  </sheetPr>
  <dimension ref="A1:AQ2"/>
  <sheetViews>
    <sheetView zoomScale="80" zoomScaleNormal="80" workbookViewId="0">
      <selection activeCell="A2" sqref="A2"/>
    </sheetView>
  </sheetViews>
  <sheetFormatPr defaultRowHeight="14.4" x14ac:dyDescent="0.3"/>
  <cols>
    <col min="1" max="1" width="12.88671875" style="31" customWidth="1"/>
    <col min="2" max="2" width="30.5546875" style="31" customWidth="1"/>
    <col min="3" max="3" width="20.88671875" style="31" customWidth="1"/>
    <col min="4" max="4" width="9.88671875" style="31" customWidth="1"/>
    <col min="5" max="5" width="7" style="31" customWidth="1"/>
    <col min="6" max="6" width="9.5546875" style="31" customWidth="1"/>
    <col min="7" max="7" width="14.33203125" style="31" customWidth="1"/>
    <col min="8" max="8" width="21.5546875" style="31" customWidth="1"/>
    <col min="9" max="9" width="12.5546875" customWidth="1"/>
    <col min="10" max="13" width="17.109375" customWidth="1"/>
    <col min="14" max="16" width="18.109375" customWidth="1"/>
    <col min="17" max="17" width="18.6640625" customWidth="1"/>
    <col min="18" max="18" width="17.88671875" customWidth="1"/>
    <col min="19" max="22" width="17.109375" customWidth="1"/>
    <col min="23" max="23" width="17.44140625" customWidth="1"/>
    <col min="24" max="24" width="19.6640625" customWidth="1"/>
    <col min="25" max="25" width="12.6640625" customWidth="1"/>
    <col min="27" max="27" width="26.109375" style="31" bestFit="1" customWidth="1"/>
    <col min="28" max="28" width="23.88671875" bestFit="1" customWidth="1"/>
    <col min="29" max="29" width="11.88671875" customWidth="1"/>
    <col min="30" max="30" width="13.44140625" customWidth="1"/>
    <col min="31" max="33" width="18" customWidth="1"/>
    <col min="34" max="34" width="17.44140625" customWidth="1"/>
    <col min="35" max="35" width="13" customWidth="1"/>
    <col min="36" max="36" width="13.44140625" customWidth="1"/>
    <col min="37" max="37" width="13.33203125" customWidth="1"/>
    <col min="38" max="38" width="15.33203125" customWidth="1"/>
    <col min="39" max="40" width="14.6640625" customWidth="1"/>
    <col min="41" max="41" width="28.33203125" customWidth="1"/>
    <col min="42" max="43" width="15.33203125" customWidth="1"/>
  </cols>
  <sheetData>
    <row r="1" spans="1:43" s="8" customFormat="1" ht="79.5" customHeight="1" x14ac:dyDescent="0.3">
      <c r="A1" s="4" t="s">
        <v>141</v>
      </c>
      <c r="B1" s="6" t="s">
        <v>142</v>
      </c>
      <c r="C1" s="6" t="s">
        <v>143</v>
      </c>
      <c r="D1" s="6" t="s">
        <v>144</v>
      </c>
      <c r="E1" s="6" t="s">
        <v>139</v>
      </c>
      <c r="F1" s="6" t="s">
        <v>145</v>
      </c>
      <c r="G1" s="6" t="s">
        <v>146</v>
      </c>
      <c r="H1" s="6" t="s">
        <v>147</v>
      </c>
      <c r="I1" s="6" t="s">
        <v>33</v>
      </c>
      <c r="J1" s="6" t="s">
        <v>148</v>
      </c>
      <c r="K1" s="6" t="s">
        <v>149</v>
      </c>
      <c r="L1" s="6" t="s">
        <v>150</v>
      </c>
      <c r="M1" s="6" t="str">
        <f>"Cost Per Event ("&amp;PriceYear&amp;" CAD)"</f>
        <v>Cost Per Event (2023 CAD)</v>
      </c>
      <c r="N1" s="4" t="s">
        <v>151</v>
      </c>
      <c r="O1" s="4" t="s">
        <v>152</v>
      </c>
      <c r="P1" s="4" t="s">
        <v>153</v>
      </c>
      <c r="Q1" s="6" t="s">
        <v>154</v>
      </c>
      <c r="R1" s="6" t="s">
        <v>155</v>
      </c>
      <c r="S1" s="6" t="s">
        <v>156</v>
      </c>
      <c r="T1" s="6" t="s">
        <v>157</v>
      </c>
      <c r="U1" s="6" t="s">
        <v>158</v>
      </c>
      <c r="V1" s="6" t="s">
        <v>159</v>
      </c>
      <c r="W1" s="6" t="s">
        <v>160</v>
      </c>
      <c r="X1" s="6" t="s">
        <v>161</v>
      </c>
      <c r="Y1"/>
      <c r="Z1"/>
      <c r="AA1" s="6" t="s">
        <v>162</v>
      </c>
      <c r="AB1" s="4" t="s">
        <v>163</v>
      </c>
      <c r="AC1" s="4" t="s">
        <v>164</v>
      </c>
      <c r="AD1" s="4" t="s">
        <v>165</v>
      </c>
      <c r="AE1" s="4" t="s">
        <v>166</v>
      </c>
      <c r="AF1" s="4" t="s">
        <v>167</v>
      </c>
      <c r="AG1" s="4" t="s">
        <v>168</v>
      </c>
      <c r="AH1" s="4" t="s">
        <v>169</v>
      </c>
      <c r="AI1" s="4" t="s">
        <v>170</v>
      </c>
      <c r="AJ1" s="4" t="s">
        <v>171</v>
      </c>
      <c r="AK1" s="4" t="s">
        <v>172</v>
      </c>
      <c r="AL1" s="4" t="s">
        <v>173</v>
      </c>
      <c r="AM1" s="4" t="s">
        <v>174</v>
      </c>
      <c r="AN1" s="140"/>
      <c r="AO1" s="143" t="str">
        <f>"{undiscounted, discounted}:"</f>
        <v>{undiscounted, discounted}:</v>
      </c>
      <c r="AP1" s="8" t="str" cm="1">
        <f t="array" ref="AP1">IFERROR(_xlfn.LET(_xlpm.x, TRANSPOSE(_xlfn._xlws.FILTER(tbl_Stakeholders[Stakeholder Group], tbl_Stakeholders[Stakeholder Group]&lt;&gt;"")), _xlfn.HSTACK(_xlpm.x&amp;" Undiscounted Impacts", _xlpm.x&amp;" Discounted Impacts")), "")</f>
        <v/>
      </c>
    </row>
    <row r="2" spans="1:43" x14ac:dyDescent="0.3">
      <c r="A2" s="31" t="str" cm="1">
        <f t="array" ref="A2">repeat(Periods, ActivityNumber)</f>
        <v/>
      </c>
      <c r="B2" s="31" t="str" cm="1">
        <f t="array" ref="B2">IFERROR(INDEX(tbl_Activities[Activity],_xlfn.ANCHORARRAY( A2)), "")</f>
        <v/>
      </c>
      <c r="C2" s="31" t="str" cm="1">
        <f t="array" ref="C2">IFERROR(INDEX(tbl_Activities[Administrative or Compliance],_xlfn.ANCHORARRAY( A2)), "")</f>
        <v/>
      </c>
      <c r="D2" s="31" t="str" cm="1">
        <f t="array" ref="D2">IFERROR(INDEX(tbl_Activities[In or Out],_xlfn.ANCHORARRAY( A2)), "")</f>
        <v/>
      </c>
      <c r="E2" s="31" t="str" cm="1">
        <f t="array" ref="E2">IFERROR(
IF(_xlfn.ANCHORARRAY(AA2)="Start of Analytical Period", YearOfRegistration,
IF(_xlfn.ANCHORARRAY(AA2)="End of Analytical Period", YearOfRegistration+Timeperiod-1,_xlfn.ANCHORARRAY(
AA2)))
+ROUNDUP(IF(_xlfn.ANCHORARRAY(F2)/_xlfn.ANCHORARRAY(G2)-1&lt;0, 0,_xlfn.ANCHORARRAY( F2)/_xlfn.ANCHORARRAY(G2)-1), 0), "")</f>
        <v/>
      </c>
      <c r="F2" s="31" t="str" cm="1">
        <f t="array" ref="F2">IFERROR(
_xlfn.LET(
_xlpm.a, _xlfn._xlws.FILTER(Periods, Checkblank),
_xlpm.b, _xlfn.SEQUENCE(COUNTA(_xlfn._xlws.FILTER(Periods, Checkblank))),
_xlpm.c, TRANSPOSE(_xlpm.b),
_xlpm.d, --(_xlpm.b&gt;=_xlpm.c),
_xlpm.e, MMULT(_xlpm.d, _xlpm.a),
_xlpm.f, SUM(_xlpm.a),
_xlpm.g, _xlfn.SEQUENCE(_xlpm.f),
_xlpm.h, _xlfn.XMATCH(_xlpm.g-1, _xlpm.e,-1),
_xlpm.I, IFERROR(INDEX(_xlpm.e,_xlpm.h),0),
_xlpm.j, _xlpm.g - _xlpm.I,
_xlpm.j)-IF(INDEX(tbl_Activities[Upfront or  Ongoing],_xlfn.ANCHORARRAY( A2))="Upfront", 1, 0),
"")</f>
        <v/>
      </c>
      <c r="G2" s="32" t="str" cm="1">
        <f t="array" ref="G2">IFERROR(IF(INDEX(tbl_Activities[Upfront or  Ongoing],_xlfn.ANCHORARRAY( A2))="Ongoing", INDEX(tbl_Activities[Annual Frequency],_xlfn.ANCHORARRAY( A2)), 1), "")</f>
        <v/>
      </c>
      <c r="H2" s="31" t="str" cm="1">
        <f t="array" ref="H2">IFERROR(INDEX(tbl_Activities[Affected Stakeholder Group],_xlfn.ANCHORARRAY( A2)), "")</f>
        <v/>
      </c>
      <c r="I2" s="21" t="str" cm="1">
        <f t="array" ref="I2">IFERROR(INDEX(tbl_Activities[Percent Affected],_xlfn.ANCHORARRAY( A2)), "")</f>
        <v/>
      </c>
      <c r="J2" s="7" cm="1">
        <f t="array" ref="J2">_xlfn.MAKEARRAY(OutputRows, 1, _xlfn.LAMBDA(_xlpm.r,_xlpm.c,
IFERROR(IF(INDEX(_xlfn.ANCHORARRAY(AB2), _xlpm.r)="All Businesses", 0, IF(INDEX(_xlfn.ANCHORARRAY(AB2), _xlpm.r)="Med/Large Businesses", 0, IF(INDEX(_xlfn.ANCHORARRAY(AB2), _xlpm.r)="Small Businesses", 0,
INDEX(_xlfn.TAKE(_xlfn.DROP(I:I,MATCH($I$1,I:I,0)),_xlfn.XMATCH(,_xlfn.DROP(I:I,MATCH($I$1,I:I,0)))-1), _xlpm.r)*
IF(AND(INDEX(_xlfn.ANCHORARRAY(AC2), _xlpm.r)=1, INDEX(_xlfn.ANCHORARRAY(H2), _xlpm.r)="All Groups"), SUMPRODUCT(NonBusinessCounts, (1+NonBusinessGrowthRates)^INDEX(_xlfn.ANCHORARRAY(AD2), _xlpm.r)),
IF(AND(INDEX(_xlfn.ANCHORARRAY(AC2), _xlpm.r)=1, NOT(INDEX(_xlfn.ANCHORARRAY(H2), _xlpm.r)="All Groups")), INDEX(_xlfn.ANCHORARRAY(AH2), _xlpm.r)*(1+INDEX(_xlfn.ANCHORARRAY(AI2), _xlpm.r))^INDEX(_xlfn.ANCHORARRAY(AD2), _xlpm.r),
IF(AND(INDEX(_xlfn.ANCHORARRAY(AC2), _xlpm.r)=2, INDEX(_xlfn.ANCHORARRAY(H2), _xlpm.r)="All Groups"), SUMPRODUCT(NonBusinessCounts, (1+NonBusinessGrowthRates)^IF(NonBusinessGrowthRates&lt;0, INDEX(_xlfn.ANCHORARRAY(AD2), _xlpm.r), INDEX(_xlfn.ANCHORARRAY(AE2), _xlpm.r))),
IF(AND(INDEX(_xlfn.ANCHORARRAY(AC2), _xlpm.r)=2, NOT(INDEX(_xlfn.ANCHORARRAY(H2), _xlpm.r)="All Groups")), INDEX(_xlfn.ANCHORARRAY(AH2), _xlpm.r)*(1+INDEX(_xlfn.ANCHORARRAY(AI2), _xlpm.r))^IF(INDEX(_xlfn.ANCHORARRAY(AI2), _xlpm.r)&lt;0, INDEX(_xlfn.ANCHORARRAY(AD2), _xlpm.r), INDEX(_xlfn.ANCHORARRAY(AE2), _xlpm.r)),
IF(AND(INDEX(_xlfn.ANCHORARRAY(AC2), _xlpm.r)=3, INDEX(_xlfn.ANCHORARRAY(H2), _xlpm.r)="All Groups"), SUMPRODUCT(NonBusinessCounts, (1+IF(NonBusinessGrowthRates&lt;0, 0, NonBusinessGrowthRates))^INDEX(_xlfn.ANCHORARRAY(AD2), _xlpm.r)-(1+IF(NonBusinessGrowthRates&lt;0, 0, NonBusinessGrowthRates))^INDEX(_xlfn.ANCHORARRAY(AE2), _xlpm.r)),
IF(AND(INDEX(_xlfn.ANCHORARRAY(AC2), _xlpm.r)=3, NOT(INDEX(_xlfn.ANCHORARRAY(H2), _xlpm.r)="All Groups")), IF(INDEX(_xlfn.ANCHORARRAY(AI2), _xlpm.r)&lt;0, 0, INDEX(_xlfn.ANCHORARRAY(AH2), _xlpm.r)*((1+INDEX(_xlfn.ANCHORARRAY(AI2), _xlpm.r))^INDEX(_xlfn.ANCHORARRAY(AD2), _xlpm.r)-(1+INDEX(_xlfn.ANCHORARRAY(AI2), _xlpm.r))^INDEX(_xlfn.ANCHORARRAY(AE2), _xlpm.r))),
IF(AND(INDEX(_xlfn.ANCHORARRAY(AC2), _xlpm.r)=4, INDEX(_xlfn.ANCHORARRAY(H2), _xlpm.r)="All Groups"), IF(INDEX(_xlfn.ANCHORARRAY(F2), _xlpm.r)=0, SUMPRODUCT(NonBusinessCounts, (1+NonBusinessGrowthRates)^INDEX(_xlfn.ANCHORARRAY(AD2), _xlpm.r)), _xlfn.LET(_xlpm.g, (1+IF(NonBusinessGrowthRates&lt;0, 0, NonBusinessGrowthRates)), SUMPRODUCT(NonBusinessCounts, _xlpm.g^INDEX(_xlfn.ANCHORARRAY(AD2), _xlpm.r)-_xlpm.g^(INDEX(_xlfn.ANCHORARRAY(AD2), _xlpm.r-1))))),
IF(AND(INDEX(_xlfn.ANCHORARRAY(AC2), _xlpm.r)=4, NOT(INDEX(_xlfn.ANCHORARRAY(H2), _xlpm.r)="All Groups")), IF(INDEX(_xlfn.ANCHORARRAY(F2), _xlpm.r)=0, INDEX(_xlfn.ANCHORARRAY(AH2), _xlpm.r)*(1+INDEX(_xlfn.ANCHORARRAY(AI2), _xlpm.r))^INDEX(_xlfn.ANCHORARRAY(AD2), _xlpm.r), IF(INDEX(_xlfn.ANCHORARRAY(AI2), _xlpm.r)&lt;0, 0, INDEX(_xlfn.ANCHORARRAY(AH2), _xlpm.r)*((1+INDEX(_xlfn.ANCHORARRAY(AI2), _xlpm.r))^INDEX(_xlfn.ANCHORARRAY(AD2), _xlpm.r)-(1+INDEX(_xlfn.ANCHORARRAY(AI2), _xlpm.r))^INDEX(_xlfn.ANCHORARRAY(AD2), _xlpm.r-1)))),
IF(AND(INDEX(_xlfn.ANCHORARRAY(AC2), _xlpm.r)=5, INDEX(_xlfn.ANCHORARRAY(H2), _xlpm.r)="All Groups"), IF(INDEX(_xlfn.ANCHORARRAY(F2), _xlpm.r)&gt;0, 0, SUMPRODUCT(NonBusinessCounts, (1+NonBusinessGrowthRates)^INDEX(_xlfn.ANCHORARRAY(AD2), _xlpm.r))),
IF(AND(INDEX(_xlfn.ANCHORARRAY(AC2), _xlpm.r)=5, NOT(INDEX(_xlfn.ANCHORARRAY(H2), _xlpm.r)="All Groups")), IF(INDEX(_xlfn.ANCHORARRAY(F2), _xlpm.r)&gt;0, 0, INDEX(_xlfn.ANCHORARRAY(AH2), _xlpm.r)*(1+INDEX(_xlfn.ANCHORARRAY(AI2), _xlpm.r))^INDEX(_xlfn.ANCHORARRAY(AD2), _xlpm.r)),
IF(AND(INDEX(_xlfn.ANCHORARRAY(AC2), _xlpm.r)=6, INDEX(_xlfn.ANCHORARRAY(H2), _xlpm.r)="All Groups"), IF(INDEX(_xlfn.ANCHORARRAY(F2), _xlpm.r)=0, 0, _xlfn.LET(_xlpm.g, (1+IF(NonBusinessGrowthRates&lt;0, 0, NonBusinessGrowthRates)), SUMPRODUCT(NonBusinessCounts, _xlpm.g^INDEX(_xlfn.ANCHORARRAY(AD2), _xlpm.r)-_xlpm.g^(INDEX(_xlfn.ANCHORARRAY(AD2), _xlpm.r-1))))),
IF(AND(INDEX(_xlfn.ANCHORARRAY(AC2), _xlpm.r)=6, NOT(INDEX(_xlfn.ANCHORARRAY(H2), _xlpm.r)="All Groups")), IF(INDEX(_xlfn.ANCHORARRAY(F2), _xlpm.r)=0, 0, IF(INDEX(_xlfn.ANCHORARRAY(AI2), _xlpm.r)&lt;0, 0, INDEX(_xlfn.ANCHORARRAY(AH2), _xlpm.r)*((1+INDEX(_xlfn.ANCHORARRAY(AI2), _xlpm.r))^INDEX(_xlfn.ANCHORARRAY(AD2), _xlpm.r)-(1+INDEX(_xlfn.ANCHORARRAY(AI2), _xlpm.r))^INDEX(_xlfn.ANCHORARRAY(AD2), _xlpm.r-1)))),
0))))))))))))))), 0)))</f>
        <v>0</v>
      </c>
      <c r="K2" s="7" cm="1">
        <f t="array" ref="K2">_xlfn.MAKEARRAY(OutputRows, 1, _xlfn.LAMBDA(_xlpm.r,_xlpm.c,
IFERROR(IF(INDEX(_xlfn.ANCHORARRAY(AB2), _xlpm.r)="Med/Large Businesses", 0, IF(INDEX(_xlfn.ANCHORARRAY(AB2), _xlpm.r)="All Non-Businesses", 0,
INDEX(_xlfn.TAKE(_xlfn.DROP(I:I,MATCH($I$1,I:I,0)),_xlfn.XMATCH(,_xlfn.DROP(I:I,MATCH($I$1,I:I,0)))-1), _xlpm.r)*
IF(AND(INDEX(_xlfn.ANCHORARRAY(AC2), _xlpm.r)=1, INDEX(_xlfn.ANCHORARRAY(H2), _xlpm.r)="All Groups"), SUMPRODUCT(SmallBusinessCounts, (1+SmallBusinessGrowthRates)^INDEX(_xlfn.ANCHORARRAY(AD2), _xlpm.r)),
IF(AND(INDEX(_xlfn.ANCHORARRAY(AC2), _xlpm.r)=1, NOT(INDEX(_xlfn.ANCHORARRAY(H2), _xlpm.r)="All Groups")), INDEX(_xlfn.ANCHORARRAY(AJ2), _xlpm.r)*(1+INDEX(_xlfn.ANCHORARRAY(AK2), _xlpm.r))^INDEX(_xlfn.ANCHORARRAY(AD2), _xlpm.r),
IF(AND(INDEX(_xlfn.ANCHORARRAY(AC2), _xlpm.r)=2, INDEX(_xlfn.ANCHORARRAY(H2), _xlpm.r)="All Groups"), SUMPRODUCT(SmallBusinessCounts, (1+SmallBusinessGrowthRates)^IF(SmallBusinessGrowthRates&lt;0, INDEX(_xlfn.ANCHORARRAY(AD2), _xlpm.r), INDEX(_xlfn.ANCHORARRAY(AE2), _xlpm.r))),
IF(AND(INDEX(_xlfn.ANCHORARRAY(AC2), _xlpm.r)=2, NOT(INDEX(_xlfn.ANCHORARRAY(H2), _xlpm.r)="All Groups")), INDEX(_xlfn.ANCHORARRAY(AJ2), _xlpm.r)*(1+INDEX(_xlfn.ANCHORARRAY(AK2), _xlpm.r))^IF(INDEX(_xlfn.ANCHORARRAY(AK2), _xlpm.r)&lt;0, INDEX(_xlfn.ANCHORARRAY(AD2), _xlpm.r), INDEX(_xlfn.ANCHORARRAY(AE2), _xlpm.r)),
IF(AND(INDEX(_xlfn.ANCHORARRAY(AC2), _xlpm.r)=3, INDEX(_xlfn.ANCHORARRAY(H2), _xlpm.r)="All Groups"), SUMPRODUCT(SmallBusinessCounts, (1+IF(SmallBusinessGrowthRates&lt;0, 0, SmallBusinessGrowthRates))^INDEX(_xlfn.ANCHORARRAY(AD2), _xlpm.r)-(1+IF(SmallBusinessGrowthRates&lt;0, 0, SmallBusinessGrowthRates))^INDEX(_xlfn.ANCHORARRAY(AE2), _xlpm.r)),
IF(AND(INDEX(_xlfn.ANCHORARRAY(AC2), _xlpm.r)=3, NOT(INDEX(_xlfn.ANCHORARRAY(H2), _xlpm.r)="All Groups")), IF(INDEX(_xlfn.ANCHORARRAY(AK2), _xlpm.r)&lt;0, 0, INDEX(_xlfn.ANCHORARRAY(AJ2), _xlpm.r)*((1+INDEX(_xlfn.ANCHORARRAY(AK2), _xlpm.r))^INDEX(_xlfn.ANCHORARRAY(AD2), _xlpm.r)-(1+INDEX(_xlfn.ANCHORARRAY(AK2), _xlpm.r))^INDEX(_xlfn.ANCHORARRAY(AE2), _xlpm.r))),
IF(AND(INDEX(_xlfn.ANCHORARRAY(AC2), _xlpm.r)=4, INDEX(_xlfn.ANCHORARRAY(H2), _xlpm.r)="All Groups"), IF(INDEX(_xlfn.ANCHORARRAY(F2), _xlpm.r)=0, SUMPRODUCT(SmallBusinessCounts, (1+SmallBusinessGrowthRates)^INDEX(_xlfn.ANCHORARRAY(AD2), _xlpm.r)), _xlfn.LET(_xlpm.g, (1+IF(SmallBusinessGrowthRates&lt;0, 0, SmallBusinessGrowthRates)), SUMPRODUCT(SmallBusinessCounts, _xlpm.g^INDEX(_xlfn.ANCHORARRAY(AD2), _xlpm.r)-_xlpm.g^(INDEX(_xlfn.ANCHORARRAY(AD2), _xlpm.r-1))))),
IF(AND(INDEX(_xlfn.ANCHORARRAY(AC2), _xlpm.r)=4, NOT(INDEX(_xlfn.ANCHORARRAY(H2), _xlpm.r)="All Groups")), IF(INDEX(_xlfn.ANCHORARRAY(F2), _xlpm.r)=0, INDEX(_xlfn.ANCHORARRAY(AJ2), _xlpm.r)*(1+INDEX(_xlfn.ANCHORARRAY(AK2), _xlpm.r))^INDEX(_xlfn.ANCHORARRAY(AD2), _xlpm.r), IF(INDEX(_xlfn.ANCHORARRAY(AK2), _xlpm.r)&lt;0, 0, INDEX(_xlfn.ANCHORARRAY(AJ2), _xlpm.r)*((1+INDEX(_xlfn.ANCHORARRAY(AK2), _xlpm.r))^INDEX(_xlfn.ANCHORARRAY(AD2), _xlpm.r)-(1+INDEX(_xlfn.ANCHORARRAY(AK2), _xlpm.r))^INDEX(_xlfn.ANCHORARRAY(AD2), _xlpm.r-1)))),
IF(AND(INDEX(_xlfn.ANCHORARRAY(AC2), _xlpm.r)=5, INDEX(_xlfn.ANCHORARRAY(H2), _xlpm.r)="All Groups"), IF(INDEX(_xlfn.ANCHORARRAY(F2), _xlpm.r)&gt;0, 0, SUMPRODUCT(SmallBusinessCounts, (1+SmallBusinessGrowthRates)^INDEX(_xlfn.ANCHORARRAY(AD2), _xlpm.r))),
IF(AND(INDEX(_xlfn.ANCHORARRAY(AC2), _xlpm.r)=5, NOT(INDEX(_xlfn.ANCHORARRAY(H2), _xlpm.r)="All Groups")), IF(INDEX(_xlfn.ANCHORARRAY(F2), _xlpm.r)&gt;0, 0, INDEX(_xlfn.ANCHORARRAY(AJ2), _xlpm.r)*(1+INDEX(_xlfn.ANCHORARRAY(AK2), _xlpm.r))^INDEX(_xlfn.ANCHORARRAY(AD2), _xlpm.r)),
IF(AND(INDEX(_xlfn.ANCHORARRAY(AC2), _xlpm.r)=6, INDEX(_xlfn.ANCHORARRAY(H2), _xlpm.r)="All Groups"), IF(INDEX(_xlfn.ANCHORARRAY(F2), _xlpm.r)=0, 0, _xlfn.LET(_xlpm.g, (1+IF(SmallBusinessGrowthRates&lt;0, 0, SmallBusinessGrowthRates)), SUMPRODUCT(SmallBusinessCounts, _xlpm.g^INDEX(_xlfn.ANCHORARRAY(AD2), _xlpm.r)-_xlpm.g^(INDEX(_xlfn.ANCHORARRAY(AD2), _xlpm.r-1))))),
IF(AND(INDEX(_xlfn.ANCHORARRAY(AC2), _xlpm.r)=6, NOT(INDEX(_xlfn.ANCHORARRAY(H2), _xlpm.r)="All Groups")), IF(INDEX(_xlfn.ANCHORARRAY(F2), _xlpm.r)=0, 0, IF(INDEX(_xlfn.ANCHORARRAY(AK2), _xlpm.r)&lt;0, 0, INDEX(_xlfn.ANCHORARRAY(AJ2), _xlpm.r)*((1+INDEX(_xlfn.ANCHORARRAY(AK2), _xlpm.r))^INDEX(_xlfn.ANCHORARRAY(AD2), _xlpm.r)-(1+INDEX(_xlfn.ANCHORARRAY(AK2), _xlpm.r))^INDEX(_xlfn.ANCHORARRAY(AD2), _xlpm.r-1)))),
0)))))))))))))), 0)))</f>
        <v>0</v>
      </c>
      <c r="L2" cm="1">
        <f t="array" ref="L2">_xlfn.MAKEARRAY(OutputRows, 1, _xlfn.LAMBDA(_xlpm.r,_xlpm.c,
IFERROR(IF(INDEX(_xlfn.ANCHORARRAY(AB2), _xlpm.r)="Small Businesses", 0, IF(INDEX(_xlfn.ANCHORARRAY(AB2), _xlpm.r)="All Non-Businesses", 0,
INDEX(_xlfn.TAKE(_xlfn.DROP(I:I,MATCH($I$1,I:I,0)),_xlfn.XMATCH(,_xlfn.DROP(I:I,MATCH($I$1,I:I,0)))-1), _xlpm.r)*
IF(AND(INDEX(_xlfn.ANCHORARRAY(AC2), _xlpm.r)=1, INDEX(_xlfn.ANCHORARRAY(H2), _xlpm.r)="All Groups"), SUMPRODUCT(MedLargeBusinessCounts, (1+MedLargeBusinessGrowthRates)^INDEX(_xlfn.ANCHORARRAY(AD2), _xlpm.r)),
IF(AND(INDEX(_xlfn.ANCHORARRAY(AC2), _xlpm.r)=1, NOT(INDEX(_xlfn.ANCHORARRAY(H2), _xlpm.r)="All Groups")), INDEX(_xlfn.ANCHORARRAY(AL2), _xlpm.r)*(1+INDEX(_xlfn.ANCHORARRAY(AM2), _xlpm.r))^INDEX(_xlfn.ANCHORARRAY(AD2), _xlpm.r),
IF(AND(INDEX(_xlfn.ANCHORARRAY(AC2), _xlpm.r)=2, INDEX(_xlfn.ANCHORARRAY(H2), _xlpm.r)="All Groups"), SUMPRODUCT(MedLargeBusinessCounts, (1+MedLargeBusinessGrowthRates)^IF(MedLargeBusinessGrowthRates&lt;0, INDEX(_xlfn.ANCHORARRAY(AD2), _xlpm.r), INDEX(_xlfn.ANCHORARRAY(AE2), _xlpm.r))),
IF(AND(INDEX(_xlfn.ANCHORARRAY(AC2), _xlpm.r)=2, NOT(INDEX(_xlfn.ANCHORARRAY(H2), _xlpm.r)="All Groups")), INDEX(_xlfn.ANCHORARRAY(AL2), _xlpm.r)*(1+INDEX(_xlfn.ANCHORARRAY(AM2), _xlpm.r))^IF(INDEX(_xlfn.ANCHORARRAY(AM2), _xlpm.r)&lt;0, INDEX(_xlfn.ANCHORARRAY(AD2), _xlpm.r), INDEX(_xlfn.ANCHORARRAY(AE2), _xlpm.r)),
IF(AND(INDEX(_xlfn.ANCHORARRAY(AC2), _xlpm.r)=3, INDEX(_xlfn.ANCHORARRAY(H2), _xlpm.r)="All Groups"), SUMPRODUCT(MedLargeBusinessCounts, (1+IF(MedLargeBusinessGrowthRates&lt;0, 0, MedLargeBusinessGrowthRates))^INDEX(_xlfn.ANCHORARRAY(AD2), _xlpm.r)-(1+IF(MedLargeBusinessGrowthRates&lt;0, 0, MedLargeBusinessGrowthRates))^INDEX(_xlfn.ANCHORARRAY(AE2), _xlpm.r)),
IF(AND(INDEX(_xlfn.ANCHORARRAY(AC2), _xlpm.r)=3, NOT(INDEX(_xlfn.ANCHORARRAY(H2), _xlpm.r)="All Groups")), IF(INDEX(_xlfn.ANCHORARRAY(AM2), _xlpm.r)&lt;0, 0, INDEX(_xlfn.ANCHORARRAY(AL2), _xlpm.r)*((1+INDEX(_xlfn.ANCHORARRAY(AM2), _xlpm.r))^INDEX(_xlfn.ANCHORARRAY(AD2), _xlpm.r)-(1+INDEX(_xlfn.ANCHORARRAY(AM2), _xlpm.r))^INDEX(_xlfn.ANCHORARRAY(AE2), _xlpm.r))),
IF(AND(INDEX(_xlfn.ANCHORARRAY(AC2), _xlpm.r)=4, INDEX(_xlfn.ANCHORARRAY(H2), _xlpm.r)="All Groups"), IF(INDEX(_xlfn.ANCHORARRAY(F2), _xlpm.r)=0, SUMPRODUCT(MedLargeBusinessCounts, (1+MedLargeBusinessGrowthRates)^INDEX(_xlfn.ANCHORARRAY(AD2), _xlpm.r)), _xlfn.LET(_xlpm.g, (1+IF(MedLargeBusinessGrowthRates&lt;0, 0, MedLargeBusinessGrowthRates)), SUMPRODUCT(MedLargeBusinessCounts, _xlpm.g^INDEX(_xlfn.ANCHORARRAY(AD2), _xlpm.r)-_xlpm.g^(INDEX(_xlfn.ANCHORARRAY(AD2), _xlpm.r-1))))),
IF(AND(INDEX(_xlfn.ANCHORARRAY(AC2), _xlpm.r)=4, NOT(INDEX(_xlfn.ANCHORARRAY(H2), _xlpm.r)="All Groups")), IF(INDEX(_xlfn.ANCHORARRAY(F2), _xlpm.r)=0, INDEX(_xlfn.ANCHORARRAY(AL2), _xlpm.r)*(1+INDEX(_xlfn.ANCHORARRAY(AM2), _xlpm.r))^INDEX(_xlfn.ANCHORARRAY(AD2), _xlpm.r), IF(INDEX(_xlfn.ANCHORARRAY(AM2), _xlpm.r)&lt;0, 0, INDEX(_xlfn.ANCHORARRAY(AL2), _xlpm.r)*((1+INDEX(_xlfn.ANCHORARRAY(AM2), _xlpm.r))^INDEX(_xlfn.ANCHORARRAY(AD2), _xlpm.r)-(1+INDEX(_xlfn.ANCHORARRAY(AM2), _xlpm.r))^INDEX(_xlfn.ANCHORARRAY(AD2), _xlpm.r-1)))),
IF(AND(INDEX(_xlfn.ANCHORARRAY(AC2), _xlpm.r)=5, INDEX(_xlfn.ANCHORARRAY(H2), _xlpm.r)="All Groups"), IF(INDEX(_xlfn.ANCHORARRAY(F2), _xlpm.r)&gt;0, 0, SUMPRODUCT(MedLargeBusinessCounts, (1+MedLargeBusinessGrowthRates)^INDEX(_xlfn.ANCHORARRAY(AD2), _xlpm.r))),
IF(AND(INDEX(_xlfn.ANCHORARRAY(AC2), _xlpm.r)=5, NOT(INDEX(_xlfn.ANCHORARRAY(H2), _xlpm.r)="All Groups")), IF(INDEX(_xlfn.ANCHORARRAY(F2), _xlpm.r)&gt;0, 0, INDEX(_xlfn.ANCHORARRAY(AL2), _xlpm.r)*(1+INDEX(_xlfn.ANCHORARRAY(AM2), _xlpm.r))^INDEX(_xlfn.ANCHORARRAY(AD2), _xlpm.r)),
IF(AND(INDEX(_xlfn.ANCHORARRAY(AC2), _xlpm.r)=6, INDEX(_xlfn.ANCHORARRAY(H2), _xlpm.r)="All Groups"), IF(INDEX(_xlfn.ANCHORARRAY(F2), _xlpm.r)=0, 0, _xlfn.LET(_xlpm.g, (1+IF(MedLargeBusinessGrowthRates&lt;0, 0, MedLargeBusinessGrowthRates)), SUMPRODUCT(MedLargeBusinessCounts, _xlpm.g^INDEX(_xlfn.ANCHORARRAY(AD2), _xlpm.r)-_xlpm.g^(INDEX(_xlfn.ANCHORARRAY(AD2), _xlpm.r-1))))),
IF(AND(INDEX(_xlfn.ANCHORARRAY(AC2), _xlpm.r)=6, NOT(INDEX(_xlfn.ANCHORARRAY(H2), _xlpm.r)="All Groups")), IF(INDEX(_xlfn.ANCHORARRAY(F2), _xlpm.r)=0, 0, IF(INDEX(_xlfn.ANCHORARRAY(AM2), _xlpm.r)&lt;0, 0, INDEX(_xlfn.ANCHORARRAY(AL2), _xlpm.r)*((1+INDEX(_xlfn.ANCHORARRAY(AM2), _xlpm.r))^INDEX(_xlfn.ANCHORARRAY(AD2), _xlpm.r)-(1+INDEX(_xlfn.ANCHORARRAY(AM2), _xlpm.r))^INDEX(_xlfn.ANCHORARRAY(AD2), _xlpm.r-1)))),
0)))))))))))))), 0)))</f>
        <v>0</v>
      </c>
      <c r="M2" s="5" t="str" cm="1">
        <f t="array" ref="M2">IFERROR(
_xlfn.LET(
     _xlpm.InternalExternal, INDEX(tbl_Activities[Labour: Internal or External Overhead],_xlfn.ANCHORARRAY( A2)),
     _xlpm.CapitalLabour, INDEX(tbl_Activities[Capital or Labour],_xlfn.ANCHORARRAY( A2)),
IF(_xlfn.ANCHORARRAY(D2)="Out", -1, 1)*
IF(_xlpm.CapitalLabour="Capital", INDEX(tbl_Activities[Capital: Number of Units],_xlfn.ANCHORARRAY( A2))*INDEX(tbl_Activities[Capital: Unit Price],_xlfn.ANCHORARRAY( A2))
     *INDEX(tbl_CPI[Index], MATCH(PriceYear, tbl_CPI[Year], 0))/INDEX(tbl_CPI[Index], MATCH(INDEX(tbl_Activities[Capital: Price Year of Unit Price],_xlfn.ANCHORARRAY( A2)), tbl_CPI[Year], 0)),
IF(_xlpm.CapitalLabour="Labour", INDEX(tbl_Wages[Wage in price year of analysis (without overhead)], MATCH(INDEX(_xlfn.TEXTBEFORE(tbl_Activities[Labour: Staff Level (Wage Without Overhead)], " ($"),_xlfn.ANCHORARRAY( A2)), tbl_Wages[National Occupational Classification (NOC)], 0))
          *(1+IF(_xlpm.InternalExternal="Internal (25%)", 0.25, IF(_xlpm.InternalExternal="External (50%)", 0.5, 0)))
          *(INDEX(tbl_Activities[Labour: Time Spent (hours)],_xlfn.ANCHORARRAY( A2))),
""))),
"")</f>
        <v/>
      </c>
      <c r="N2" s="5" t="str" cm="1">
        <f t="array" ref="N2">_xlfn.LET(
     _xlpm.AffectedNonBusinesses, _xlfn.TAKE(_xlfn.DROP(J:J,MATCH(J$1,J:J,0)),_xlfn.XMATCH(,_xlfn.DROP(J:J,MATCH(J$1,J:J,0)))-1),
IFERROR(_xlfn.ANCHORARRAY(M2)*_xlpm.AffectedNonBusinesses, ""))</f>
        <v/>
      </c>
      <c r="O2" s="5" t="str" cm="1">
        <f t="array" ref="O2">_xlfn.LET(
     _xlpm.AffectedSmallBusinesses, _xlfn.TAKE(_xlfn.DROP(K:K,MATCH(K$1,K:K,0)),_xlfn.XMATCH(,_xlfn.DROP(K:K,MATCH(K$1,K:K,0)))-1),
IFERROR(_xlfn.ANCHORARRAY(M2)*_xlpm.AffectedSmallBusinesses, ""))</f>
        <v/>
      </c>
      <c r="P2" s="5" t="str" cm="1">
        <f t="array" ref="P2">_xlfn.LET(
     _xlpm.AffectedMedLargeBusinesses, _xlfn.TAKE(_xlfn.DROP(L:L,MATCH(L$1,L:L,0)),_xlfn.XMATCH(,_xlfn.DROP(L:L,MATCH(L$1,L:L,0)))-1),
IFERROR(_xlfn.ANCHORARRAY(M2)*_xlpm.AffectedMedLargeBusinesses, ""))</f>
        <v/>
      </c>
      <c r="Q2" s="5" cm="1">
        <f t="array" ref="Q2">IFERROR(_xlfn.ANCHORARRAY($O$2)+_xlfn.ANCHORARRAY($P$2),0)</f>
        <v>0</v>
      </c>
      <c r="R2" s="5" cm="1">
        <f t="array" ref="R2">IFERROR(_xlfn.ANCHORARRAY($Q$2)+_xlfn.ANCHORARRAY($N$2), 0)</f>
        <v>0</v>
      </c>
      <c r="S2" s="5" cm="1">
        <f t="array" ref="S2">IFERROR(_xlfn.ANCHORARRAY($N$2)/(1+Discount)^_xlfn.ANCHORARRAY($AF$2),0)</f>
        <v>0</v>
      </c>
      <c r="T2" s="5" cm="1">
        <f t="array" ref="T2">IFERROR(_xlfn.ANCHORARRAY($O$2)/(1+Discount)^_xlfn.ANCHORARRAY($AF$2),0)</f>
        <v>0</v>
      </c>
      <c r="U2" s="5" cm="1">
        <f t="array" ref="U2">IFERROR(_xlfn.ANCHORARRAY(P2)/(1+Discount)^_xlfn.ANCHORARRAY($AF$2),0)</f>
        <v>0</v>
      </c>
      <c r="V2" s="5" cm="1">
        <f t="array" ref="V2">IFERROR(_xlfn.ANCHORARRAY($T$2)+_xlfn.ANCHORARRAY($U$2), 0)</f>
        <v>0</v>
      </c>
      <c r="W2" s="5" cm="1">
        <f t="array" ref="W2">IFERROR(_xlfn.ANCHORARRAY($V$2)+_xlfn.ANCHORARRAY($S$2), 0)</f>
        <v>0</v>
      </c>
      <c r="X2" s="5" cm="1">
        <f t="array" ref="X2">IFERROR(--(_xlfn.ANCHORARRAY($C$2)="Administrative")*(_xlfn.ANCHORARRAY($O$2)+_xlfn.ANCHORARRAY($P$2))/(1.07)^_xlfn.ANCHORARRAY($AF$2), 0)</f>
        <v>0</v>
      </c>
      <c r="Y2" s="3"/>
      <c r="AA2" s="31" t="str" cm="1">
        <f t="array" ref="AA2">IFERROR(INDEX(tbl_Activities[Start Year],_xlfn.ANCHORARRAY( $A$2)), "")</f>
        <v/>
      </c>
      <c r="AB2" t="str" cm="1">
        <f t="array" ref="AB2">IFERROR(INDEX(tbl_Activities[Affected Stakeholder Type],_xlfn.ANCHORARRAY( A2)), "")</f>
        <v/>
      </c>
      <c r="AC2" t="str" cm="1">
        <f t="array" ref="AC2">IFERROR(INDEX(ActivityType,_xlfn.ANCHORARRAY( A2)), "")</f>
        <v/>
      </c>
      <c r="AD2" t="str" cm="1">
        <f t="array" ref="AD2">IFERROR(
IF(_xlfn.ANCHORARRAY(AA2)="Start of Analytical Period",_xlfn.ANCHORARRAY( F2)/_xlfn.ANCHORARRAY(G2),
IF(_xlfn.ANCHORARRAY(AA2)="End of Analytical Period",Timeperiod-1+_xlfn.ANCHORARRAY(F2)/_xlfn.ANCHORARRAY(G2),_xlfn.ANCHORARRAY(
AA2)-YearOfRegistration+_xlfn.ANCHORARRAY(F2)/_xlfn.ANCHORARRAY(G2))),
"")</f>
        <v/>
      </c>
      <c r="AE2" t="str" cm="1">
        <f t="array" ref="AE2">IFERROR(
IF(_xlfn.ANCHORARRAY(AA2)="Start of Analytical Period", 0,
IF(_xlfn.ANCHORARRAY(AA2)="End of Analytical Period", Timeperiod-1,_xlfn.ANCHORARRAY(
AA2)-YearOfRegistration)),
"")</f>
        <v/>
      </c>
      <c r="AF2" t="str" cm="1">
        <f t="array" ref="AF2">IFERROR(
IF(_xlfn.ANCHORARRAY(AA2)="Start of Analytical Period", (YearOfRegistration-PVBaseYear)+_xlfn.ANCHORARRAY($F$2)/_xlfn.ANCHORARRAY($G$2),
IF(_xlfn.ANCHORARRAY(AA2)="End of Analytical Period", (YearOfRegistration-PVBaseYear)+Timeperiod-1+_xlfn.ANCHORARRAY($F$2)/_xlfn.ANCHORARRAY($G$2),_xlfn.ANCHORARRAY(
AA2)-PVBaseYear+_xlfn.ANCHORARRAY($F$2)/_xlfn.ANCHORARRAY($G$2))),
"")</f>
        <v/>
      </c>
      <c r="AG2" t="str" cm="1">
        <f t="array" ref="AG2">IFERROR(MATCH(INDEX(tbl_Activities[Affected Stakeholder Group],_xlfn.ANCHORARRAY( 'Full Output'!$A$2)), _xlfn._xlws.FILTER(tbl_Stakeholders[Stakeholder Group], tbl_Stakeholders[Stakeholder Group]&lt;&gt;""), 0), "")</f>
        <v/>
      </c>
      <c r="AH2" t="str" cm="1">
        <f t="array" ref="AH2">IFERROR(INDEX(NonBusinessCounts,_xlfn.ANCHORARRAY( AG2)), "")</f>
        <v/>
      </c>
      <c r="AI2" t="str" cm="1">
        <f t="array" ref="AI2">IFERROR(INDEX(NonBusinessGrowthRates,_xlfn.ANCHORARRAY( AG2)), "")</f>
        <v/>
      </c>
      <c r="AJ2" t="str" cm="1">
        <f t="array" ref="AJ2">IFERROR(INDEX(SmallBusinessCounts,_xlfn.ANCHORARRAY( AG2)), "")</f>
        <v/>
      </c>
      <c r="AK2" t="str" cm="1">
        <f t="array" ref="AK2">IFERROR(INDEX(SmallBusinessGrowthRates,_xlfn.ANCHORARRAY( AG2)), "")</f>
        <v/>
      </c>
      <c r="AL2" t="str" cm="1">
        <f t="array" ref="AL2">IFERROR(INDEX(MedLargeBusinessCounts,_xlfn.ANCHORARRAY( AG2)), "")</f>
        <v/>
      </c>
      <c r="AM2" t="str" cm="1">
        <f t="array" ref="AM2">IFERROR(INDEX(MedLargeBusinessGrowthRates,_xlfn.ANCHORARRAY( AG2)), "")</f>
        <v/>
      </c>
      <c r="AP2" t="str" cm="1">
        <f t="array" ref="AP2:AQ2">IFERROR(_xlfn.LET(
_xlpm.nonbusinesscosts_undiscounted, _xlfn.MAKEARRAY(OutputRows,StakeholderCols,_xlfn.LAMBDA(_xlpm.r,_xlpm.c, _xlfn.LET(_xlpm.AllGroups, INDEX(_xlfn.ANCHORARRAY(H2), _xlpm.r)="All Groups", _xlpm.ThisGroup, IF(_xlpm.c=INDEX(_xlfn.ANCHORARRAY(AG2), _xlpm.r), INDEX(_xlfn.ANCHORARRAY(J2), _xlpm.r), 0),
IF(INDEX(_xlfn.ANCHORARRAY(AB2), _xlpm.r)="Med/Large Businesses", 0, IF(INDEX(_xlfn.ANCHORARRAY(AB2), _xlpm.r)="All Businesses", 0, IF(INDEX(_xlfn.ANCHORARRAY(AB2), _xlpm.r)=" Small Businesses", 0,
INDEX(_xlfn.ANCHORARRAY(M2), _xlpm.r)*
IF(INDEX(_xlfn.ANCHORARRAY(AC2),_xlpm.r)=1, IF(_xlpm.AllGroups, INDEX(_xlfn.ANCHORARRAY(I2), _xlpm.r)*INDEX(NonBusinessCounts,_xlpm.c)*(1+INDEX(NonBusinessGrowthRates, _xlpm.c))^INDEX(_xlfn.ANCHORARRAY(AD2), _xlpm.r), _xlpm.ThisGroup),
IF(INDEX(_xlfn.ANCHORARRAY(AC2),_xlpm.r)=2, IF(_xlpm.AllGroups, INDEX(_xlfn.ANCHORARRAY(I2), _xlpm.r)*INDEX(NonBusinessCounts, _xlpm.c)*(1+INDEX(NonBusinessGrowthRates, _xlpm.c))^IF(INDEX(NonBusinessGrowthRates, _xlpm.c)&lt;0, INDEX(_xlfn.ANCHORARRAY(AD2), _xlpm.r), INDEX(_xlfn.ANCHORARRAY(AE2), _xlpm.r)), _xlpm.ThisGroup),
IF(INDEX(_xlfn.ANCHORARRAY(AC2),_xlpm.r)=3, IF(_xlpm.AllGroups, INDEX(_xlfn.ANCHORARRAY(I2), _xlpm.r)*INDEX(NonBusinessCounts, _xlpm.c)*((1+MAX(INDEX(NonBusinessGrowthRates, _xlpm.c), 0))^INDEX(_xlfn.ANCHORARRAY(AD2), _xlpm.r)-(1+MAX(INDEX(NonBusinessGrowthRates, _xlpm.c), 0))^INDEX(_xlfn.ANCHORARRAY(AE2), _xlpm.r)), _xlpm.ThisGroup),
IF(INDEX(_xlfn.ANCHORARRAY(AC2),_xlpm.r)=4, IF(_xlpm.AllGroups, INDEX(_xlfn.ANCHORARRAY(I2), _xlpm.r)*IF(INDEX(_xlfn.ANCHORARRAY(F2),_xlpm.r)=0, INDEX(NonBusinessCounts, _xlpm.c)*(1+INDEX(NonBusinessGrowthRates, _xlpm.c))^INDEX(_xlfn.ANCHORARRAY(AD2), _xlpm.r), INDEX(NonBusinessCounts, _xlpm.c)*(((1+MAX(INDEX(NonBusinessGrowthRates, _xlpm.c), 0))^INDEX(_xlfn.ANCHORARRAY(AD2), _xlpm.r))-(1+MAX(INDEX(NonBusinessGrowthRates, _xlpm.c), 0))^INDEX(_xlfn.ANCHORARRAY(AD2), _xlpm.r-1))), _xlpm.ThisGroup),
IF(INDEX(_xlfn.ANCHORARRAY(AC2),_xlpm.r)=5, IF(_xlpm.AllGroups, INDEX(_xlfn.ANCHORARRAY(I2), _xlpm.r)*IF(INDEX(_xlfn.ANCHORARRAY(F2),_xlpm.r)=0, INDEX(NonBusinessCounts, _xlpm.c)*(1+INDEX(NonBusinessGrowthRates, _xlpm.c))^INDEX(_xlfn.ANCHORARRAY(AD2), _xlpm.r), 0), _xlpm.ThisGroup),
IF(INDEX(_xlfn.ANCHORARRAY(AC2),_xlpm.r)=6, IF(_xlpm.AllGroups, INDEX(_xlfn.ANCHORARRAY(I2), _xlpm.r)*IF(INDEX(_xlfn.ANCHORARRAY(F2), _xlpm.r)=0, 0, INDEX(NonBusinessCounts, _xlpm.c)*(((1+MAX(INDEX(NonBusinessGrowthRates, _xlpm.c), 0))^INDEX(_xlfn.ANCHORARRAY(AD2), _xlpm.r))-(1+MAX(INDEX(NonBusinessGrowthRates, _xlpm.c), 0))^INDEX(_xlfn.ANCHORARRAY(AD2), _xlpm.r-1))), AP2),
0)))))))))))),
_xlpm.smallbusinesscosts_undiscounted, _xlfn.MAKEARRAY(OutputRows,StakeholderCols,_xlfn.LAMBDA(_xlpm.r,_xlpm.c, _xlfn.LET(_xlpm.AllGroups, INDEX(_xlfn.ANCHORARRAY(H2), _xlpm.r)="All Groups", _xlpm.ThisGroup, IF(_xlpm.c=INDEX(_xlfn.ANCHORARRAY(AG2), _xlpm.r), INDEX(_xlfn.ANCHORARRAY(K2), _xlpm.r), 0),
IF(INDEX(_xlfn.ANCHORARRAY(AB2), _xlpm.r)="Med/Large Businesses", 0, IF(INDEX(_xlfn.ANCHORARRAY(AB2), _xlpm.r)="All Non-Businesses", 0,
INDEX(_xlfn.ANCHORARRAY(M2), _xlpm.r)*
IF(INDEX(_xlfn.ANCHORARRAY(AC2),_xlpm.r)=1, IF(_xlpm.AllGroups, INDEX(_xlfn.ANCHORARRAY(I2), _xlpm.r)*INDEX(SmallBusinessCounts,_xlpm.c)*(1+INDEX(SmallBusinessGrowthRates, _xlpm.c))^INDEX(_xlfn.ANCHORARRAY(AD2), _xlpm.r), _xlpm.ThisGroup),
IF(INDEX(_xlfn.ANCHORARRAY(AC2),_xlpm.r)=2, IF(_xlpm.AllGroups, INDEX(_xlfn.ANCHORARRAY(I2), _xlpm.r)*INDEX(SmallBusinessCounts, _xlpm.c)*(1+INDEX(SmallBusinessGrowthRates, _xlpm.c))^IF(INDEX(SmallBusinessGrowthRates, _xlpm.c)&lt;0, INDEX(_xlfn.ANCHORARRAY(AD2), _xlpm.r), INDEX(_xlfn.ANCHORARRAY(AE2), _xlpm.r)), _xlpm.ThisGroup),
IF(INDEX(_xlfn.ANCHORARRAY(AC2),_xlpm.r)=3, IF(_xlpm.AllGroups, INDEX(_xlfn.ANCHORARRAY(I2), _xlpm.r)*INDEX(SmallBusinessCounts, _xlpm.c)*((1+MAX(INDEX(SmallBusinessGrowthRates, _xlpm.c), 0))^INDEX(_xlfn.ANCHORARRAY(AD2), _xlpm.r)-(1+MAX(INDEX(SmallBusinessGrowthRates, _xlpm.c), 0))^INDEX(_xlfn.ANCHORARRAY(AE2), _xlpm.r)), _xlpm.ThisGroup),
IF(INDEX(_xlfn.ANCHORARRAY(AC2),_xlpm.r)=4, IF(_xlpm.AllGroups, INDEX(_xlfn.ANCHORARRAY(I2), _xlpm.r)*IF(INDEX(_xlfn.ANCHORARRAY(F2),_xlpm.r)=0, INDEX(SmallBusinessCounts, _xlpm.c)*(1+INDEX(SmallBusinessGrowthRates, _xlpm.c))^INDEX(_xlfn.ANCHORARRAY(AD2), _xlpm.r), INDEX(SmallBusinessCounts, _xlpm.c)*(((1+MAX(INDEX(SmallBusinessGrowthRates, _xlpm.c), 0))^INDEX(_xlfn.ANCHORARRAY(AD2), _xlpm.r))-(1+MAX(INDEX(SmallBusinessGrowthRates, _xlpm.c), 0))^INDEX(_xlfn.ANCHORARRAY(AD2), _xlpm.r-1))), _xlpm.ThisGroup),
IF(INDEX(_xlfn.ANCHORARRAY(AC2),_xlpm.r)=5, IF(_xlpm.AllGroups, INDEX(_xlfn.ANCHORARRAY(I2), _xlpm.r)*IF(INDEX(_xlfn.ANCHORARRAY(F2),_xlpm.r)=0, INDEX(SmallBusinessCounts, _xlpm.c)*(1+INDEX(SmallBusinessGrowthRates, _xlpm.c))^INDEX(_xlfn.ANCHORARRAY(AD2), _xlpm.r), 0), _xlpm.ThisGroup),
IF(INDEX(_xlfn.ANCHORARRAY(AC2),_xlpm.r)=6, IF(_xlpm.AllGroups, INDEX(_xlfn.ANCHORARRAY(I2), _xlpm.r)*IF(INDEX(_xlfn.ANCHORARRAY(F2), _xlpm.r)=0, 0, INDEX(SmallBusinessCounts, _xlpm.c)*(((1+MAX(INDEX(SmallBusinessGrowthRates, _xlpm.c), 0))^INDEX(_xlfn.ANCHORARRAY(AD2), _xlpm.r))-(1+MAX(INDEX(SmallBusinessGrowthRates, _xlpm.c), 0))^INDEX(_xlfn.ANCHORARRAY(AD2), _xlpm.r-1))), _xlpm.ThisGroup),
0))))))))))),
_xlpm.medlargebusinesscosts_undiscounted, _xlfn.MAKEARRAY(OutputRows,StakeholderCols,_xlfn.LAMBDA(_xlpm.r,_xlpm.c, _xlfn.LET(_xlpm.AllGroups, INDEX(_xlfn.ANCHORARRAY(H2), _xlpm.r)="All Groups", _xlpm.ThisGroup, IF(_xlpm.c=INDEX(_xlfn.ANCHORARRAY(AG2), _xlpm.r), INDEX(_xlfn.ANCHORARRAY(L2), _xlpm.r), 0),
IF(INDEX(_xlfn.ANCHORARRAY(AB2), _xlpm.r)="Small Businesses", 0, IF(INDEX(_xlfn.ANCHORARRAY(AB2), _xlpm.r)="All Non-Businesses", 0,
INDEX(_xlfn.ANCHORARRAY(M2), _xlpm.r)*
IF(INDEX(_xlfn.ANCHORARRAY(AC2),_xlpm.r)=1, IF(_xlpm.AllGroups, INDEX(_xlfn.ANCHORARRAY(I2), _xlpm.r)*INDEX(MedLargeBusinessCounts,_xlpm.c)*(1+INDEX(MedLargeBusinessGrowthRates, _xlpm.c))^INDEX(_xlfn.ANCHORARRAY(AD2), _xlpm.r), _xlpm.ThisGroup),
IF(INDEX(_xlfn.ANCHORARRAY(AC2),_xlpm.r)=2, IF(_xlpm.AllGroups, INDEX(_xlfn.ANCHORARRAY(I2), _xlpm.r)*INDEX(MedLargeBusinessCounts, _xlpm.c)*(1+INDEX(MedLargeBusinessGrowthRates, _xlpm.c))^IF(INDEX(MedLargeBusinessGrowthRates, _xlpm.c)&lt;0, INDEX(_xlfn.ANCHORARRAY(AD2), _xlpm.r), INDEX(_xlfn.ANCHORARRAY(AE2), _xlpm.r)), _xlpm.ThisGroup),
IF(INDEX(_xlfn.ANCHORARRAY(AC2),_xlpm.r)=3, IF(_xlpm.AllGroups, INDEX(_xlfn.ANCHORARRAY(I2), _xlpm.r)*INDEX(MedLargeBusinessCounts, _xlpm.c)*((1+MAX(INDEX(MedLargeBusinessGrowthRates, _xlpm.c), 0))^INDEX(_xlfn.ANCHORARRAY(AD2), _xlpm.r)-(1+MAX(INDEX(MedLargeBusinessGrowthRates, _xlpm.c), 0))^INDEX(_xlfn.ANCHORARRAY(AE2), _xlpm.r)), _xlpm.ThisGroup),
IF(INDEX(_xlfn.ANCHORARRAY(AC2),_xlpm.r)=4, IF(_xlpm.AllGroups, INDEX(_xlfn.ANCHORARRAY(I2), _xlpm.r)*IF(INDEX(_xlfn.ANCHORARRAY(F2),_xlpm.r)=0, INDEX(MedLargeBusinessCounts, _xlpm.c)*(1+INDEX(MedLargeBusinessGrowthRates, _xlpm.c))^INDEX(_xlfn.ANCHORARRAY(AD2), _xlpm.r), INDEX(MedLargeBusinessCounts, _xlpm.c)*(((1+MAX(INDEX(MedLargeBusinessGrowthRates, _xlpm.c), 0))^INDEX(_xlfn.ANCHORARRAY(AD2), _xlpm.r))-(1+MAX(INDEX(MedLargeBusinessGrowthRates, _xlpm.c), 0))^INDEX(_xlfn.ANCHORARRAY(AD2), _xlpm.r-1))), _xlpm.ThisGroup),
IF(INDEX(_xlfn.ANCHORARRAY(AC2),_xlpm.r)=5, IF(_xlpm.AllGroups, INDEX(_xlfn.ANCHORARRAY(I2), _xlpm.r)*IF(INDEX(_xlfn.ANCHORARRAY(F2),_xlpm.r)=0, INDEX(MedLargeBusinessCounts, _xlpm.c)*(1+INDEX(MedLargeBusinessGrowthRates, _xlpm.c))^INDEX(_xlfn.ANCHORARRAY(AD2), _xlpm.r), 0), _xlpm.ThisGroup),
IF(INDEX(_xlfn.ANCHORARRAY(AC2),_xlpm.r)=6, IF(_xlpm.AllGroups, INDEX(_xlfn.ANCHORARRAY(I2), _xlpm.r)*IF(INDEX(_xlfn.ANCHORARRAY(F2), _xlpm.r)=0, 0, INDEX(MedLargeBusinessCounts, _xlpm.c)*(((1+MAX(INDEX(MedLargeBusinessGrowthRates, _xlpm.c), 0))^INDEX(_xlfn.ANCHORARRAY(AD2), _xlpm.r))-(1+MAX(INDEX(MedLargeBusinessGrowthRates, _xlpm.c), 0))^INDEX(_xlfn.ANCHORARRAY(AD2), _xlpm.r-1))), _xlpm.ThisGroup),
0))))))))))),
_xlpm.x, _xlpm.nonbusinesscosts_undiscounted+_xlpm.smallbusinesscosts_undiscounted+_xlpm.medlargebusinesscosts_undiscounted,
_xlfn.HSTACK(_xlpm.x, _xlpm.x/(1+Discount)^_xlfn.ANCHORARRAY(AF2))), "")</f>
        <v/>
      </c>
      <c r="AQ2" t="str">
        <v/>
      </c>
    </row>
  </sheetData>
  <conditionalFormatting sqref="I2:I20000">
    <cfRule type="notContainsBlanks" dxfId="2" priority="1">
      <formula>LEN(TRIM(I2))&gt;0</formula>
    </cfRule>
  </conditionalFormatting>
  <conditionalFormatting sqref="J2:L20000 G2:G20000">
    <cfRule type="notContainsBlanks" dxfId="1" priority="4">
      <formula>LEN(TRIM(G2))&gt;0</formula>
    </cfRule>
  </conditionalFormatting>
  <conditionalFormatting sqref="M2:X20000">
    <cfRule type="notContainsBlanks" dxfId="0" priority="2">
      <formula>LEN(TRIM(M2))&gt;0</formula>
    </cfRule>
  </conditionalFormatting>
  <pageMargins left="0.7" right="0.7" top="0.75" bottom="0.75" header="0.3" footer="0.3"/>
  <pageSetup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D09D-19FD-4376-AE4D-3326423866B0}">
  <sheetPr codeName="Sheet15">
    <tabColor rgb="FFC00000"/>
  </sheetPr>
  <dimension ref="B1:DL92"/>
  <sheetViews>
    <sheetView zoomScale="80" zoomScaleNormal="80" zoomScaleSheetLayoutView="86" workbookViewId="0"/>
  </sheetViews>
  <sheetFormatPr defaultRowHeight="14.4" x14ac:dyDescent="0.3"/>
  <cols>
    <col min="2" max="2" width="21.88671875" customWidth="1"/>
    <col min="3" max="3" width="22.88671875" customWidth="1"/>
    <col min="4" max="4" width="26.109375" customWidth="1"/>
    <col min="5" max="5" width="26.5546875" customWidth="1"/>
    <col min="6" max="6" width="18.6640625" customWidth="1"/>
    <col min="7" max="7" width="25.6640625" bestFit="1" customWidth="1"/>
    <col min="8" max="8" width="27.5546875" customWidth="1"/>
    <col min="9" max="9" width="88.6640625" bestFit="1" customWidth="1"/>
    <col min="12" max="12" width="13.5546875" customWidth="1"/>
    <col min="13" max="13" width="8.6640625" customWidth="1"/>
    <col min="14" max="14" width="18.6640625" customWidth="1"/>
    <col min="15" max="15" width="17.33203125" customWidth="1"/>
    <col min="16" max="16" width="78" customWidth="1"/>
    <col min="17" max="17" width="14.33203125" customWidth="1"/>
    <col min="18" max="18" width="121.33203125" customWidth="1"/>
    <col min="19" max="19" width="25.5546875" customWidth="1"/>
    <col min="20" max="20" width="68.44140625" customWidth="1"/>
    <col min="21" max="21" width="23" customWidth="1"/>
    <col min="23" max="23" width="34" customWidth="1"/>
    <col min="25" max="25" width="15" customWidth="1"/>
    <col min="26" max="26" width="9.33203125" customWidth="1"/>
    <col min="27" max="27" width="15.5546875" customWidth="1"/>
    <col min="28" max="28" width="18.6640625" customWidth="1"/>
    <col min="29" max="29" width="14.88671875" customWidth="1"/>
    <col min="30" max="34" width="14.5546875" customWidth="1"/>
    <col min="35" max="35" width="36.33203125" customWidth="1"/>
    <col min="39" max="39" width="16.44140625" customWidth="1"/>
    <col min="40" max="40" width="16.88671875" customWidth="1"/>
    <col min="41" max="41" width="17" customWidth="1"/>
    <col min="44" max="44" width="35.88671875" customWidth="1"/>
    <col min="45" max="45" width="25.44140625" customWidth="1"/>
    <col min="46" max="46" width="19.88671875" customWidth="1"/>
    <col min="47" max="47" width="40" customWidth="1"/>
    <col min="48" max="48" width="17" customWidth="1"/>
    <col min="49" max="49" width="31.6640625" customWidth="1"/>
    <col min="50" max="50" width="26.88671875" customWidth="1"/>
    <col min="53" max="53" width="30.6640625" customWidth="1"/>
    <col min="54" max="54" width="11.88671875" customWidth="1"/>
    <col min="55" max="55" width="33.6640625" customWidth="1"/>
    <col min="56" max="56" width="19.88671875" customWidth="1"/>
    <col min="57" max="57" width="37.5546875" customWidth="1"/>
    <col min="58" max="58" width="32.33203125" customWidth="1"/>
    <col min="59" max="59" width="30.109375" customWidth="1"/>
    <col min="60" max="60" width="50.33203125" customWidth="1"/>
    <col min="61" max="61" width="81.44140625" customWidth="1"/>
    <col min="63" max="63" width="9.88671875" bestFit="1" customWidth="1"/>
    <col min="66" max="66" width="64.5546875" customWidth="1"/>
    <col min="74" max="74" width="14.6640625" customWidth="1"/>
    <col min="75" max="75" width="16.109375" customWidth="1"/>
    <col min="76" max="76" width="20.109375" customWidth="1"/>
    <col min="77" max="77" width="8" customWidth="1"/>
    <col min="78" max="78" width="16.33203125" customWidth="1"/>
    <col min="79" max="79" width="20.6640625" customWidth="1"/>
    <col min="80" max="80" width="10.33203125" bestFit="1" customWidth="1"/>
    <col min="81" max="82" width="9.33203125" bestFit="1" customWidth="1"/>
    <col min="83" max="83" width="10.44140625" customWidth="1"/>
    <col min="84" max="84" width="10.88671875" customWidth="1"/>
    <col min="85" max="85" width="12.44140625" customWidth="1"/>
    <col min="86" max="86" width="11.33203125" customWidth="1"/>
    <col min="87" max="87" width="15.6640625" customWidth="1"/>
    <col min="88" max="88" width="13.44140625" customWidth="1"/>
    <col min="89" max="89" width="13" customWidth="1"/>
    <col min="90" max="90" width="13.44140625" customWidth="1"/>
    <col min="91" max="91" width="13" customWidth="1"/>
    <col min="92" max="92" width="12" customWidth="1"/>
    <col min="93" max="93" width="12.5546875" customWidth="1"/>
    <col min="94" max="94" width="11.33203125" customWidth="1"/>
    <col min="95" max="96" width="13.33203125" customWidth="1"/>
    <col min="97" max="97" width="15.44140625" customWidth="1"/>
    <col min="100" max="100" width="9" bestFit="1" customWidth="1"/>
    <col min="101" max="101" width="9.33203125" bestFit="1" customWidth="1"/>
    <col min="102" max="102" width="9" bestFit="1" customWidth="1"/>
    <col min="103" max="103" width="14.33203125" customWidth="1"/>
    <col min="104" max="104" width="10.44140625" customWidth="1"/>
    <col min="105" max="105" width="10.88671875" customWidth="1"/>
    <col min="106" max="107" width="13.5546875" customWidth="1"/>
    <col min="108" max="108" width="12.5546875" customWidth="1"/>
    <col min="109" max="110" width="13.88671875" customWidth="1"/>
    <col min="111" max="111" width="11.88671875" customWidth="1"/>
    <col min="112" max="112" width="11.5546875" customWidth="1"/>
    <col min="114" max="114" width="28.109375" bestFit="1" customWidth="1"/>
    <col min="115" max="115" width="27.33203125" customWidth="1"/>
    <col min="116" max="116" width="16.6640625" customWidth="1"/>
  </cols>
  <sheetData>
    <row r="1" spans="2:116" ht="72" x14ac:dyDescent="0.3">
      <c r="B1" s="173" t="s">
        <v>296</v>
      </c>
      <c r="C1" s="173" t="s">
        <v>297</v>
      </c>
      <c r="D1" s="173" t="s">
        <v>298</v>
      </c>
      <c r="E1" s="173" t="s">
        <v>299</v>
      </c>
      <c r="F1" s="173" t="s">
        <v>300</v>
      </c>
      <c r="G1" s="173" t="s">
        <v>301</v>
      </c>
      <c r="H1" s="175" t="s">
        <v>295</v>
      </c>
      <c r="I1" s="174" t="s">
        <v>294</v>
      </c>
      <c r="R1" t="s">
        <v>44</v>
      </c>
      <c r="BV1" s="4" t="s">
        <v>141</v>
      </c>
      <c r="BW1" s="6" t="s">
        <v>142</v>
      </c>
      <c r="BX1" s="6" t="s">
        <v>143</v>
      </c>
      <c r="BY1" s="6" t="s">
        <v>144</v>
      </c>
      <c r="BZ1" s="6" t="s">
        <v>139</v>
      </c>
      <c r="CA1" s="6" t="s">
        <v>145</v>
      </c>
      <c r="CB1" s="171" t="s">
        <v>146</v>
      </c>
      <c r="CC1" s="6" t="s">
        <v>147</v>
      </c>
      <c r="CD1" s="6" t="s">
        <v>33</v>
      </c>
      <c r="CE1" s="6" t="s">
        <v>148</v>
      </c>
      <c r="CF1" s="6" t="s">
        <v>149</v>
      </c>
      <c r="CG1" s="6" t="s">
        <v>150</v>
      </c>
      <c r="CH1" s="6" t="str">
        <f>"Cost Per Event ("&amp;PriceYear&amp;" CAD)"</f>
        <v>Cost Per Event (2023 CAD)</v>
      </c>
      <c r="CI1" s="4" t="s">
        <v>151</v>
      </c>
      <c r="CJ1" s="4" t="s">
        <v>152</v>
      </c>
      <c r="CK1" s="4" t="s">
        <v>153</v>
      </c>
      <c r="CL1" s="6" t="s">
        <v>154</v>
      </c>
      <c r="CM1" s="6" t="s">
        <v>155</v>
      </c>
      <c r="CN1" s="6" t="s">
        <v>156</v>
      </c>
      <c r="CO1" s="6" t="s">
        <v>157</v>
      </c>
      <c r="CP1" s="6" t="s">
        <v>158</v>
      </c>
      <c r="CQ1" s="6" t="s">
        <v>159</v>
      </c>
      <c r="CR1" s="6" t="s">
        <v>160</v>
      </c>
      <c r="CS1" s="6" t="s">
        <v>161</v>
      </c>
      <c r="CV1" s="6" t="s">
        <v>162</v>
      </c>
      <c r="CW1" s="4" t="s">
        <v>163</v>
      </c>
      <c r="CX1" s="4" t="s">
        <v>164</v>
      </c>
      <c r="CY1" s="4" t="s">
        <v>165</v>
      </c>
      <c r="CZ1" s="4" t="s">
        <v>166</v>
      </c>
      <c r="DA1" s="4" t="s">
        <v>167</v>
      </c>
      <c r="DB1" s="4" t="s">
        <v>168</v>
      </c>
      <c r="DC1" s="4" t="s">
        <v>169</v>
      </c>
      <c r="DD1" s="4" t="s">
        <v>170</v>
      </c>
      <c r="DE1" s="4" t="s">
        <v>171</v>
      </c>
      <c r="DF1" s="4" t="s">
        <v>172</v>
      </c>
      <c r="DG1" s="4" t="s">
        <v>173</v>
      </c>
      <c r="DH1" s="4" t="s">
        <v>174</v>
      </c>
      <c r="DI1" s="140"/>
      <c r="DJ1" s="172" t="str">
        <f>"{undiscounted, discounted}:"</f>
        <v>{undiscounted, discounted}:</v>
      </c>
      <c r="DK1" s="8" t="s">
        <v>274</v>
      </c>
      <c r="DL1" s="8" t="s">
        <v>275</v>
      </c>
    </row>
    <row r="2" spans="2:116" ht="16.5" customHeight="1" x14ac:dyDescent="0.3">
      <c r="B2" t="str" cm="1">
        <f t="array" ref="B2">IFERROR(_xlfn.VSTACK(_xlfn.UNIQUE(_xlfn._xlws.FILTER(tbl_Stakeholders[Stakeholder Group], tbl_Stakeholders[Stakeholder Group]&lt;&gt;"")), "All Groups"), "")</f>
        <v/>
      </c>
      <c r="C2" s="88" cm="1">
        <f t="array" ref="C2:C12">_xlfn.SEQUENCE(11, , 0, 1%)</f>
        <v>0</v>
      </c>
      <c r="D2" cm="1">
        <f t="array" ref="D2:D92">_xlfn.SEQUENCE(91, , 10, 1)</f>
        <v>10</v>
      </c>
      <c r="E2" cm="1">
        <f t="array" ref="E2:E40">_xlfn.SEQUENCE(2050-2012+1, , 2012)</f>
        <v>2012</v>
      </c>
      <c r="F2" cm="1">
        <f t="array" ref="F2:F23">_xlfn._xlws.SORT(tbl_CPI[Year], , -1)</f>
        <v>2023</v>
      </c>
      <c r="G2" t="str" cm="1">
        <f t="array" ref="G2:G13">_xlfn.VSTACK("Start of Analytical Period", "End of Analytical Period", _xlfn.SEQUENCE(Timeperiod, , YearOfRegistration))</f>
        <v>Start of Analytical Period</v>
      </c>
      <c r="H2" s="179">
        <v>2</v>
      </c>
      <c r="I2" t="str" cm="1">
        <f t="array" ref="I2:I53">tbl_Wages[National Occupational Classification (NOC)]&amp; IFERROR(" ("&amp;DOLLAR(tbl_Wages[Wage in price year of analysis (without overhead)], H2)&amp;")", " (custom wage not added yet)")</f>
        <v>01 Canada average ($33.32)</v>
      </c>
      <c r="N2" s="15" t="s">
        <v>195</v>
      </c>
      <c r="O2" s="15" t="s">
        <v>196</v>
      </c>
      <c r="P2" s="15" t="s">
        <v>197</v>
      </c>
      <c r="R2" s="50" t="str">
        <f>IF(OneForOneLanding=0,R5,R4)</f>
        <v>The one-for-one rule does not apply as there is no impact on business.</v>
      </c>
      <c r="S2" s="50"/>
      <c r="T2" s="50"/>
      <c r="U2" s="145"/>
      <c r="BV2" s="19" t="s">
        <v>175</v>
      </c>
      <c r="BW2" s="19" t="s">
        <v>176</v>
      </c>
      <c r="BX2" s="19" t="s">
        <v>177</v>
      </c>
      <c r="BY2" s="19" t="s">
        <v>178</v>
      </c>
      <c r="BZ2" s="19" t="s">
        <v>276</v>
      </c>
      <c r="CA2" s="8" t="s">
        <v>179</v>
      </c>
      <c r="CB2" s="19" t="s">
        <v>277</v>
      </c>
      <c r="CC2" s="19" t="s">
        <v>180</v>
      </c>
      <c r="CD2" s="19" t="s">
        <v>181</v>
      </c>
      <c r="CE2" s="8" t="s">
        <v>182</v>
      </c>
      <c r="CF2" s="8" t="s">
        <v>183</v>
      </c>
      <c r="CG2" s="8" t="s">
        <v>184</v>
      </c>
      <c r="CH2" s="8" t="s">
        <v>278</v>
      </c>
      <c r="CI2" s="19" t="s">
        <v>185</v>
      </c>
      <c r="CJ2" s="19" t="s">
        <v>186</v>
      </c>
      <c r="CK2" s="19" t="s">
        <v>187</v>
      </c>
      <c r="CL2" s="19" t="s">
        <v>188</v>
      </c>
      <c r="CM2" s="19" t="s">
        <v>189</v>
      </c>
      <c r="CN2" s="19" t="s">
        <v>190</v>
      </c>
      <c r="CO2" s="19" t="s">
        <v>191</v>
      </c>
      <c r="CP2" s="19" t="s">
        <v>279</v>
      </c>
      <c r="CQ2" s="19" t="s">
        <v>192</v>
      </c>
      <c r="CR2" s="19" t="s">
        <v>193</v>
      </c>
      <c r="CS2" s="19" t="s">
        <v>194</v>
      </c>
      <c r="CV2" s="19" t="s">
        <v>280</v>
      </c>
      <c r="CW2" s="19" t="s">
        <v>281</v>
      </c>
      <c r="CX2" s="19" t="s">
        <v>282</v>
      </c>
      <c r="CY2" s="19" t="s">
        <v>283</v>
      </c>
      <c r="CZ2" s="19" t="s">
        <v>284</v>
      </c>
      <c r="DA2" s="19" t="s">
        <v>285</v>
      </c>
      <c r="DB2" s="19" t="s">
        <v>286</v>
      </c>
      <c r="DC2" s="19" t="s">
        <v>287</v>
      </c>
      <c r="DD2" s="19" t="s">
        <v>288</v>
      </c>
      <c r="DE2" s="19" t="s">
        <v>289</v>
      </c>
      <c r="DF2" s="19" t="s">
        <v>290</v>
      </c>
      <c r="DG2" s="19" t="s">
        <v>291</v>
      </c>
      <c r="DH2" s="19" t="s">
        <v>292</v>
      </c>
      <c r="DK2" s="8" t="s">
        <v>293</v>
      </c>
    </row>
    <row r="3" spans="2:116" ht="15" thickBot="1" x14ac:dyDescent="0.35">
      <c r="C3" s="88">
        <v>0.01</v>
      </c>
      <c r="D3">
        <v>11</v>
      </c>
      <c r="E3">
        <v>2013</v>
      </c>
      <c r="F3">
        <v>2022</v>
      </c>
      <c r="G3" t="str">
        <v>End of Analytical Period</v>
      </c>
      <c r="I3" t="str">
        <v>02 Management occupations ($54.36)</v>
      </c>
      <c r="N3" s="2" t="s">
        <v>198</v>
      </c>
      <c r="O3" s="2">
        <f>0.07/(1-(1.07)^(-10))</f>
        <v>0.14237750272736471</v>
      </c>
      <c r="P3" s="2" t="s">
        <v>199</v>
      </c>
      <c r="V3" s="152" t="s">
        <v>200</v>
      </c>
      <c r="AS3" s="8"/>
      <c r="AT3" s="8"/>
      <c r="AU3" s="8"/>
      <c r="AV3" s="8"/>
      <c r="AW3" s="8"/>
      <c r="AX3" s="8"/>
    </row>
    <row r="4" spans="2:116" ht="15" customHeight="1" thickBot="1" x14ac:dyDescent="0.35">
      <c r="C4" s="88">
        <v>0.02</v>
      </c>
      <c r="D4">
        <v>12</v>
      </c>
      <c r="E4">
        <v>2014</v>
      </c>
      <c r="F4">
        <v>2021</v>
      </c>
      <c r="G4">
        <v>2024</v>
      </c>
      <c r="I4" t="str">
        <v>03 Senior management occupations ($63.82)</v>
      </c>
      <c r="N4" s="2" t="s">
        <v>201</v>
      </c>
      <c r="O4" s="2">
        <f>Discount/(1-(1+Discount)^(-Timeperiod))</f>
        <v>0.14237750272736471</v>
      </c>
      <c r="P4" s="2" t="s">
        <v>202</v>
      </c>
      <c r="R4" t="str">
        <f>_xlfn.CONCAT(R12, R13)</f>
        <v xml:space="preserve">The one for one rule does not apply as the changes in adminitrative burden on business offset each other, and no regulatory titles are repealed or introduced. 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c r="V4" s="156" t="s">
        <v>141</v>
      </c>
      <c r="W4" s="157" t="s">
        <v>203</v>
      </c>
      <c r="X4" s="157" t="s">
        <v>204</v>
      </c>
      <c r="Y4" s="157" t="s">
        <v>205</v>
      </c>
      <c r="Z4" s="157" t="s">
        <v>146</v>
      </c>
      <c r="AA4" s="157" t="s">
        <v>206</v>
      </c>
      <c r="AB4" s="157" t="s">
        <v>207</v>
      </c>
      <c r="AC4" s="157" t="s">
        <v>208</v>
      </c>
      <c r="AD4" s="153" t="s">
        <v>209</v>
      </c>
      <c r="AE4" s="153" t="s">
        <v>210</v>
      </c>
      <c r="AF4" s="153" t="s">
        <v>211</v>
      </c>
      <c r="AG4" s="153" t="s">
        <v>212</v>
      </c>
      <c r="AH4" s="153" t="s">
        <v>213</v>
      </c>
      <c r="AI4" s="153" t="s">
        <v>214</v>
      </c>
      <c r="AJ4" s="154" t="s">
        <v>215</v>
      </c>
      <c r="AM4" s="155" t="s">
        <v>216</v>
      </c>
      <c r="AN4" s="153" t="s">
        <v>217</v>
      </c>
      <c r="AO4" s="153" t="s">
        <v>218</v>
      </c>
      <c r="AP4" s="153" t="s">
        <v>219</v>
      </c>
      <c r="AQ4" s="153" t="s">
        <v>220</v>
      </c>
      <c r="AR4" s="153" t="s">
        <v>221</v>
      </c>
      <c r="AS4" s="153" t="s">
        <v>222</v>
      </c>
      <c r="AT4" s="153" t="s">
        <v>223</v>
      </c>
      <c r="AU4" s="153" t="s">
        <v>224</v>
      </c>
      <c r="AV4" s="153" t="s">
        <v>225</v>
      </c>
      <c r="AW4" s="153" t="s">
        <v>226</v>
      </c>
      <c r="AX4" s="153" t="s">
        <v>227</v>
      </c>
      <c r="AY4" s="153" t="s">
        <v>228</v>
      </c>
      <c r="AZ4" s="153" t="s">
        <v>229</v>
      </c>
      <c r="BA4" s="153" t="s">
        <v>230</v>
      </c>
      <c r="BB4" s="153" t="s">
        <v>231</v>
      </c>
      <c r="BC4" s="153" t="s">
        <v>232</v>
      </c>
      <c r="BD4" s="153" t="s">
        <v>233</v>
      </c>
      <c r="BE4" s="153" t="s">
        <v>234</v>
      </c>
      <c r="BF4" s="153" t="s">
        <v>235</v>
      </c>
      <c r="BG4" s="153" t="s">
        <v>236</v>
      </c>
      <c r="BH4" s="153" t="s">
        <v>237</v>
      </c>
      <c r="BI4" s="153" t="s">
        <v>238</v>
      </c>
      <c r="BN4" s="49" t="str">
        <f>_xlfn.CONCAT(BN5:BN88)</f>
        <v xml:space="preserve">The amendments related to Activity Name Not Entered represent an annualized total  of $0. 
</v>
      </c>
    </row>
    <row r="5" spans="2:116" ht="15.75" customHeight="1" x14ac:dyDescent="0.3">
      <c r="C5" s="88">
        <v>0.03</v>
      </c>
      <c r="D5">
        <v>13</v>
      </c>
      <c r="E5">
        <v>2015</v>
      </c>
      <c r="F5">
        <v>2020</v>
      </c>
      <c r="G5">
        <v>2025</v>
      </c>
      <c r="I5" t="str">
        <v>04 Specialized middle management occupations ($58.78)</v>
      </c>
      <c r="R5" t="str">
        <f>IF(SUM(tbl_Stakeholders[Small Business Count])+SUM(tbl_Stakeholders[Med/Large Business Count])=0,Controls!R7,IF(AND(Controls!S36=0,'Initiative Details'!D9=0,'Initiative Details'!D10=0),Controls!R8,IF(AND(Controls!S36=0,'Initiative Details'!D9='Initiative Details'!D10),Controls!R9,R10)))</f>
        <v>The one-for-one rule does not apply as there is no impact on business.</v>
      </c>
      <c r="V5" s="14" t="str" cm="1">
        <f t="array" ref="V5">IFERROR(_xlfn._xlws.FILTER(ActivityNumber,tbl_Activities[Administrative or Compliance]="Administrative"),"")</f>
        <v/>
      </c>
      <c r="W5" t="str" cm="1">
        <f t="array" ref="W5">_xlfn.XLOOKUP(_xlfn.ANCHORARRAY($V5),ActivityNumber,tbl_Activities[Activity],"Activity Name Not Entered",0,1)</f>
        <v>Activity Name Not Entered</v>
      </c>
      <c r="X5" cm="1">
        <f t="array" ref="X5">_xlfn.XLOOKUP(_xlfn.ANCHORARRAY($V5),ActivityNumber,tbl_Activities[In or Out],0,1)</f>
        <v>0</v>
      </c>
      <c r="Y5" t="str" cm="1">
        <f t="array" ref="Y5">_xlfn.XLOOKUP(_xlfn.ANCHORARRAY($V5),ActivityNumber,tbl_Activities[Capital or Labour],"Activity Name Not Entered",0,1)</f>
        <v>Activity Name Not Entered</v>
      </c>
      <c r="Z5" t="str" cm="1">
        <f t="array" ref="Z5">_xlfn.XLOOKUP(_xlfn.ANCHORARRAY($V5),ActivityNumber,tbl_Activities[Annual Frequency],"Activity Name Not Entered",0,1)</f>
        <v>Activity Name Not Entered</v>
      </c>
      <c r="AA5" t="str" cm="1">
        <f t="array" ref="AA5">IF(_xlfn.ANCHORARRAY($Y5)="Labour", 0, _xlfn.XLOOKUP(_xlfn.ANCHORARRAY($V5),ActivityNumber,tbl_Activities[Capital: Number of Units],"Activity Name Not Entered",0,1))</f>
        <v>Activity Name Not Entered</v>
      </c>
      <c r="AB5" cm="1">
        <f t="array" ref="AB5">IFERROR(IF(_xlfn.ANCHORARRAY($Y5)="Labour", 0, _xlfn.XLOOKUP(_xlfn.ANCHORARRAY($V5),ActivityNumber,tbl_Activities[Capital: Unit Price],"Activity Name Not Entered",0,1)) * _xlfn.LET(_xlpm.CapPriceYear,_xlfn.XLOOKUP(_xlfn.ANCHORARRAY($V5),ActivityNumber,tbl_Activities[Capital: Price Year of Unit Price],"2012",0,1),CPI!$D$25/_xlfn.XLOOKUP(_xlpm.CapPriceYear,tbl_CPI[Year],tbl_CPI[Index])),0)</f>
        <v>0</v>
      </c>
      <c r="AC5" cm="1">
        <f t="array" ref="AC5">IF(_xlfn.ANCHORARRAY(Y5)="Labour",_xlfn.XLOOKUP(_xlfn.ANCHORARRAY($V5),ActivityNumber,tbl_Activities[Labour: Time Spent (hours)],0,1),0)</f>
        <v>0</v>
      </c>
      <c r="AD5" cm="1">
        <f t="array" ref="AD5">IF(_xlfn.ANCHORARRAY(Y5)="Labour",_xlfn.LET(_xlpm.IntExt,_xlfn.XLOOKUP(_xlfn.ANCHORARRAY($V5),ActivityNumber,tbl_Activities[Labour: Internal or External Overhead],0,1),IF(_xlpm.IntExt="Internal (25%)",1.25,1.5)) *
_xlfn.LET(_xlpm.WageClass,_xlfn.XLOOKUP(_xlfn.ANCHORARRAY($V5),ActivityNumber,tbl_Activities[Labour: Staff Level (Wage Without Overhead)],0,1),_xlfn.XLOOKUP(_xlpm.WageClass,tbl_Wages[National Occupational Classification (NOC)],tbl_Wages[Wage in price year of analysis (without overhead)],"No",-1,1))*
OneforOne_CPI_Conversion,0)</f>
        <v>0</v>
      </c>
      <c r="AE5" t="str" cm="1">
        <f t="array" ref="AE5">IFERROR(_xlfn.ANCHORARRAY(Z5)*_xlfn.ANCHORARRAY(AC5),"")</f>
        <v/>
      </c>
      <c r="AF5" t="str" cm="1">
        <f t="array" ref="AF5">IFERROR(_xlfn.ANCHORARRAY(AE5)*_xlfn.ANCHORARRAY(AD5),"")</f>
        <v/>
      </c>
      <c r="AG5" t="str" cm="1">
        <f t="array" ref="AG5">IFERROR(_xlfn.ANCHORARRAY(Z5)*_xlfn.ANCHORARRAY(AA5),"")</f>
        <v/>
      </c>
      <c r="AH5" t="str" cm="1">
        <f t="array" ref="AH5">IFERROR(_xlfn.ANCHORARRAY(AG5)*_xlfn.ANCHORARRAY(AB5),"")</f>
        <v/>
      </c>
      <c r="AI5" cm="1">
        <f t="array" ref="AI5">(((SUMIFS(_xlfn.ANCHORARRAY('Full Output'!$X2),_xlfn.ANCHORARRAY('Full Output'!$A2),_xlfn.ANCHORARRAY($V5),_xlfn.ANCHORARRAY('Full Output'!$E2),"&lt;"&amp;YearOfRegistration+"10")*OneforOne_CPI_Conversion)*1.07^-Years_since_2012)*0.07)/(1-(1+'One-for-one'!$C$9)^-10)</f>
        <v>0</v>
      </c>
      <c r="AJ5" s="149" cm="1">
        <f t="array" ref="AJ5">_xlfn.MAXIFS(_xlfn.ANCHORARRAY('Full Output'!$K2),_xlfn.ANCHORARRAY('Full Output'!$A2),_xlfn.ANCHORARRAY($V5))+_xlfn.MAXIFS(_xlfn.ANCHORARRAY('Full Output'!$L2),_xlfn.ANCHORARRAY('Full Output'!$A2),_xlfn.ANCHORARRAY($V5))</f>
        <v>0</v>
      </c>
      <c r="AM5" s="8" t="str" cm="1">
        <f t="array" ref="AM5">_xlfn.UNIQUE(_xlfn.ANCHORARRAY(W5))</f>
        <v>Activity Name Not Entered</v>
      </c>
      <c r="AN5" s="147" cm="1">
        <f t="array" ref="AN5">SUMIFS(_xlfn.ANCHORARRAY($AI5),_xlfn.ANCHORARRAY($W5),_xlfn.ANCHORARRAY($AM5),_xlfn.ANCHORARRAY($Y5),"Labour",_xlfn.ANCHORARRAY($X5),"In")</f>
        <v>0</v>
      </c>
      <c r="AO5" s="147" cm="1">
        <f t="array" ref="AO5">SUMIFS(_xlfn.ANCHORARRAY($AI5),_xlfn.ANCHORARRAY($W5),_xlfn.ANCHORARRAY($AM5),_xlfn.ANCHORARRAY($Y5),"Labour",_xlfn.ANCHORARRAY($X5),"Out")</f>
        <v>0</v>
      </c>
      <c r="AP5" s="147" cm="1">
        <f t="array" ref="AP5">SUMIFS(_xlfn.ANCHORARRAY($AI5),_xlfn.ANCHORARRAY($W5),_xlfn.ANCHORARRAY($AM5),_xlfn.ANCHORARRAY($Y5),"Capital",_xlfn.ANCHORARRAY($X5),"In")</f>
        <v>0</v>
      </c>
      <c r="AQ5" s="147" cm="1">
        <f t="array" ref="AQ5">SUMIFS(_xlfn.ANCHORARRAY($AI5),_xlfn.ANCHORARRAY($W5),_xlfn.ANCHORARRAY($AM5),_xlfn.ANCHORARRAY($Y5),"Capital",_xlfn.ANCHORARRAY($X5),"Out")</f>
        <v>0</v>
      </c>
      <c r="AR5" s="163" t="str" cm="1">
        <f t="array" ref="AR5">$U$21&amp;_xlfn.ANCHORARRAY(AM5)&amp;" represent "&amp;IF(--(_xlfn.ANCHORARRAY(AN5)+_xlfn.ANCHORARRAY(AP5)=0)+--(_xlfn.ANCHORARRAY(AO5)+_xlfn.ANCHORARRAY(AQ5)=0)&gt;0,"an annualized total ","an annualized net ")&amp;IF((_xlfn.ANCHORARRAY(AN5)+_xlfn.ANCHORARRAY(AO5)+_xlfn.ANCHORARRAY(AP5)+_xlfn.ANCHORARRAY(AQ5))&gt;0,"cost",IF((_xlfn.ANCHORARRAY(AN5)+_xlfn.ANCHORARRAY(AO5)+_xlfn.ANCHORARRAY(AP5)+_xlfn.ANCHORARRAY(AQ5))&lt;0,"cost savings",""))
&amp;" of "&amp;DOLLAR(ABS(_xlfn.ANCHORARRAY($AN5)+_xlfn.ANCHORARRAY(AO5)+_xlfn.ANCHORARRAY(AP5)+_xlfn.ANCHORARRAY(AQ5)),0)&amp;". "</f>
        <v xml:space="preserve">The amendments related to Activity Name Not Entered represent an annualized total  of $0. </v>
      </c>
      <c r="AS5" t="str" cm="1">
        <f t="array" ref="AS5">_xlfn.LET(_xlpm.BizCount, _xlfn.MAXIFS(_xlfn.ANCHORARRAY($AJ5),_xlfn.ANCHORARRAY($W5),_xlfn.ANCHORARRAY($AM5),_xlfn.ANCHORARRAY($X5),"In",_xlfn.ANCHORARRAY($Y5),"Labour",_xlfn.ANCHORARRAY(AJ5),"&gt;0"),IF(_xlpm.BizCount=1,"One Business would spend ",IF(_xlpm.BizCount=0,"", IF(_xlpm.BizCount&lt;10, "Up to " &amp;INDEX(tbl_NumberWord[],_xlpm.BizCount,2)  &amp; " businesses would spend ", "Up to " &amp; ROUND(_xlpm.BizCount,0) &amp; " businesses would spend "))))</f>
        <v/>
      </c>
      <c r="AT5" t="str" cm="1">
        <f t="array" ref="AT5">_xlfn.LET(_xlpm.BizCount, _xlfn.MAXIFS(_xlfn.ANCHORARRAY($AJ5),_xlfn.ANCHORARRAY($W5),_xlfn.ANCHORARRAY($AM5),_xlfn.ANCHORARRAY($X5),"out",_xlfn.ANCHORARRAY($Y5),"Labour"),IF(_xlpm.BizCount=1,"One Business would save ",IF(_xlpm.BizCount=0,"", IF(_xlpm.BizCount&lt;10, "Up to " &amp;INDEX(tbl_NumberWord[],_xlpm.BizCount,2)  &amp; " businesses would save ", "Up to " &amp; ROUND(_xlpm.BizCount,0) &amp; " businesses would save "))))</f>
        <v/>
      </c>
      <c r="AU5" t="str" cm="1">
        <f t="array" ref="AU5">_xlfn.LET(_xlpm.BizCount, _xlfn.MAXIFS(_xlfn.ANCHORARRAY($AJ5),_xlfn.ANCHORARRAY($W5),_xlfn.ANCHORARRAY($AM5),_xlfn.ANCHORARRAY($X5),"In",_xlfn.ANCHORARRAY($Y5),"Capital"),IF(_xlpm.BizCount=1,"One Business would spend ",IF(_xlpm.BizCount=0,"", IF(_xlpm.BizCount&lt;10, "Up to " &amp;INDEX(tbl_NumberWord[],_xlpm.BizCount,2)  &amp; " businesses would spend ", "Up to " &amp; ROUND(_xlpm.BizCount,0) &amp; " businesses would spend "))))</f>
        <v/>
      </c>
      <c r="AV5" t="str" cm="1">
        <f t="array" ref="AV5">_xlfn.LET(_xlpm.BizCount, _xlfn.MAXIFS(_xlfn.ANCHORARRAY($AJ5),_xlfn.ANCHORARRAY($W5),_xlfn.ANCHORARRAY($AM5),_xlfn.ANCHORARRAY($X5),"out",_xlfn.ANCHORARRAY($Y5),"Capital"),IF(_xlpm.BizCount=1,"One Business would save ",IF(_xlpm.BizCount=0,"", IF(_xlpm.BizCount&lt;10, "Up to " &amp;INDEX(tbl_NumberWord[],_xlpm.BizCount,2)  &amp; " businesses would save ", "Up to " &amp; ROUND(_xlpm.BizCount,0) &amp; " businesses would save "))))</f>
        <v/>
      </c>
      <c r="AW5" s="48" t="str" cm="1">
        <f t="array" ref="AW5">_xlfn.LET(_xlpm.AVGLabHours, SUMIFS(_xlfn.ANCHORARRAY($AC5),_xlfn.ANCHORARRAY($W5),_xlfn.ANCHORARRAY($AM5),_xlfn.ANCHORARRAY($X5),"in",_xlfn.ANCHORARRAY(AJ5),"&gt;0"), IF(_xlpm.AVGLabHours=0,"",IF(_xlpm.AVGLabHours&lt;1,_xlpm.AVGLabHours * 60 &amp; " minutes",IF(_xlpm.AVGLabHours=1, "one hour",IF(_xlpm.AVGLabHours&lt;10,INDEX(tbl_NumberWord[],_xlpm.AVGLabHours,2) &amp; " hours", ROUND(_xlpm.AVGLabHours, 2) &amp;" hours"))) &amp; " to complete the task "))</f>
        <v/>
      </c>
      <c r="AX5" s="48" t="str" cm="1">
        <f t="array" ref="AX5">_xlfn.LET(_xlpm.AVGLabHours, SUMIFS(_xlfn.ANCHORARRAY($AC5),_xlfn.ANCHORARRAY($W5),_xlfn.ANCHORARRAY($AM5),_xlfn.ANCHORARRAY($X5),"out",_xlfn.ANCHORARRAY(AJ5),"&gt;0"), IF(_xlpm.AVGLabHours=0,"",IF(_xlpm.AVGLabHours&lt;1,_xlpm.AVGLabHours * 60 &amp; " minutes",IF(_xlpm.AVGLabHours=1, " one hour ",IF(_xlpm.AVGLabHours&lt;10,INDEX(tbl_NumberWord[],_xlpm.AVGLabHours,2) &amp; " hours", ROUND(_xlpm.AVGLabHours, 2) &amp;" hours"))) &amp; " to complete the task "))</f>
        <v/>
      </c>
      <c r="AY5" s="48" t="str" cm="1">
        <f t="array" ref="AY5">_xlfn.LET(_xlpm.CapUnits, SUMIFS(_xlfn.ANCHORARRAY($AA5),_xlfn.ANCHORARRAY($W5),_xlfn.ANCHORARRAY($AM5),_xlfn.ANCHORARRAY($X5),"In",_xlfn.ANCHORARRAY(AJ5),"&gt;0"),IF(_xlpm.CapUnits=0,"",IF(_xlpm.CapUnits &lt;1, _xlpm.CapUnits &amp; " units ",IF(_xlpm.CapUnits =1, " one unit ",IF(_xlpm.CapUnits&lt;10,INDEX(tbl_NumberWord[],_xlpm.CapUnits,2) &amp; " units ", _xlpm.CapUnits &amp;" units ")))))</f>
        <v/>
      </c>
      <c r="AZ5" s="48" t="str" cm="1">
        <f t="array" ref="AZ5">_xlfn.LET(_xlpm.CapUnits, SUMIFS(_xlfn.ANCHORARRAY($AA5),_xlfn.ANCHORARRAY($W5),_xlfn.ANCHORARRAY($AM5),_xlfn.ANCHORARRAY($X5),"out",_xlfn.ANCHORARRAY(AJ5),"&gt;0"),IF(_xlpm.CapUnits=0,"",IF(_xlpm.CapUnits &lt;1, _xlpm.CapUnits &amp; " units ",IF(_xlpm.CapUnits =1, " one unit ",IF(_xlpm.CapUnits&lt;10,INDEX(tbl_NumberWord[],_xlpm.CapUnits,2) &amp; " units", _xlpm.CapUnits &amp;" units ")))))</f>
        <v/>
      </c>
      <c r="BA5" s="48" t="str" cm="1">
        <f t="array" ref="BA5">_xlfn.LET(_xlpm.LabFreq, _xlfn.MAXIFS(_xlfn.ANCHORARRAY($Z5),_xlfn.ANCHORARRAY($W5),_xlfn.ANCHORARRAY($AM5),_xlfn.ANCHORARRAY($X5),"In",_xlfn.ANCHORARRAY($Y5),"Labour",_xlfn.ANCHORARRAY(AJ5),"&gt;0"),IF(_xlpm.LabFreq=0,"",IF(_xlpm.LabFreq&lt;1, "every " &amp; ROUND(1/_xlpm.LabFreq,0) &amp; " years. ",IF(_xlpm.LabFreq=1, "once per year. ",IF(_xlpm.LabFreq&lt;10,INDEX(tbl_NumberWord[],_xlpm.LabFreq,2)&amp; " times per year. ",_xlpm.LabFreq &amp; " times per year. "))) ))</f>
        <v/>
      </c>
      <c r="BB5" s="48" t="str" cm="1">
        <f t="array" ref="BB5">_xlfn.LET(_xlpm.LabFreq, _xlfn.MAXIFS(_xlfn.ANCHORARRAY($Z5),_xlfn.ANCHORARRAY($W5),_xlfn.ANCHORARRAY($AM5),_xlfn.ANCHORARRAY($X5),"out",_xlfn.ANCHORARRAY($Y5),"Labour",_xlfn.ANCHORARRAY(AJ5),"&gt;0"),IF(_xlpm.LabFreq=0,"",IF(_xlpm.LabFreq&lt;1, "every " &amp; ROUND(1/_xlpm.LabFreq,0) &amp; " years. ",IF(_xlpm.LabFreq=1, " once per year. ",IF(_xlpm.LabFreq&lt;10,INDEX(tbl_NumberWord[],_xlpm.LabFreq,2) &amp;" times per year. ",_xlpm.LabFreq&amp; " times per year. "))) ))</f>
        <v/>
      </c>
      <c r="BC5" s="48" t="str" cm="1">
        <f t="array" ref="BC5">_xlfn.LET(_xlpm.LabFreq, _xlfn.MAXIFS(_xlfn.ANCHORARRAY($Z5),_xlfn.ANCHORARRAY($W5),_xlfn.ANCHORARRAY($AM5),_xlfn.ANCHORARRAY($X5),"in",_xlfn.ANCHORARRAY($Y5),"Capital",_xlfn.ANCHORARRAY(AJ5),"&gt;0"),IF(_xlpm.LabFreq=0,"",IF(_xlpm.LabFreq&lt;1, "every " &amp; ROUND(1/_xlpm.LabFreq,0) &amp; " years. ",IF(_xlpm.LabFreq=1, " once per year. ",IF(_xlpm.LabFreq&lt;10,INDEX(tbl_NumberWord[],_xlpm.LabFreq,2)&amp; " times per year. ",_xlpm.LabFreq&amp; " times per year. "))) ))</f>
        <v/>
      </c>
      <c r="BD5" s="48" t="str" cm="1">
        <f t="array" ref="BD5">_xlfn.LET(_xlpm.LabFreq, _xlfn.MAXIFS(_xlfn.ANCHORARRAY($Z5),_xlfn.ANCHORARRAY($W5),_xlfn.ANCHORARRAY($AM5),_xlfn.ANCHORARRAY($X5),"out",_xlfn.ANCHORARRAY($Y5),"Capital",_xlfn.ANCHORARRAY(AJ5),"&gt;0"),IF(_xlpm.LabFreq=0,"",IF(_xlpm.LabFreq&lt;1, "every " &amp; ROUND(1/_xlpm.LabFreq,0) &amp; " years. ",IF(_xlpm.LabFreq=1, " once per year. ",IF(_xlpm.LabFreq&lt;10,INDEX(tbl_NumberWord[],_xlpm.LabFreq,2)&amp; " times per year. ",_xlpm.LabFreq&amp; " times per year. "))) ))</f>
        <v/>
      </c>
      <c r="BE5" s="8" t="str" cm="1">
        <f t="array" ref="BE5">_xlfn.LET(_xlpm.AvgWage, IFERROR(SUMIFS(_xlfn.ANCHORARRAY($AF5),_xlfn.ANCHORARRAY($W5),_xlfn.ANCHORARRAY($AM5),_xlfn.ANCHORARRAY($Y5),"Labour",_xlfn.ANCHORARRAY($X5),"In",_xlfn.ANCHORARRAY(AJ5),"&gt;0")/SUMIFS(_xlfn.ANCHORARRAY($AE5),_xlfn.ANCHORARRAY($W5),_xlfn.ANCHORARRAY($AM5),_xlfn.ANCHORARRAY($Y5),"Labour",_xlfn.ANCHORARRAY($X5),"In",_xlfn.ANCHORARRAY(AJ5),"&gt;0"),0), IF(_xlpm.AvgWage=0,"", "The average wage (including overhead) of the responsible individual is estimated to be " &amp; DOLLAR(_xlpm.AvgWage,2) &amp; ". "))</f>
        <v/>
      </c>
      <c r="BF5" t="str" cm="1">
        <f t="array" ref="BF5">_xlfn.LET(_xlpm.AvgWage, IFERROR(SUMIFS(_xlfn.ANCHORARRAY($AF5),_xlfn.ANCHORARRAY($W5),_xlfn.ANCHORARRAY($AM5),_xlfn.ANCHORARRAY($Y5),"Labour",_xlfn.ANCHORARRAY($X5),"out",_xlfn.ANCHORARRAY(AJ5),"&gt;0")/SUMIFS(_xlfn.ANCHORARRAY($AE5),_xlfn.ANCHORARRAY($W5),_xlfn.ANCHORARRAY($AM5),_xlfn.ANCHORARRAY($Y5),"Labour",_xlfn.ANCHORARRAY($X5),"out",_xlfn.ANCHORARRAY(AJ5),"&gt;0"),0), IF(_xlpm.AvgWage=0,"", "The average wage (including overhead) of the responsible individual is estimated to be " &amp; DOLLAR(_xlpm.AvgWage,2)&amp; ". "))</f>
        <v/>
      </c>
      <c r="BG5" s="164" t="str" cm="1">
        <f t="array" ref="BG5">_xlfn.LET(_xlpm.AvgCapCost, IFERROR(SUMIFS(_xlfn.ANCHORARRAY($AH5),_xlfn.ANCHORARRAY($W5),_xlfn.ANCHORARRAY($AM5),_xlfn.ANCHORARRAY($Y5),"capital",_xlfn.ANCHORARRAY($X5),"In",_xlfn.ANCHORARRAY(AJ5),"&gt;0")/SUMIFS(_xlfn.ANCHORARRAY($AG5),_xlfn.ANCHORARRAY($W5),_xlfn.ANCHORARRAY($AM5),_xlfn.ANCHORARRAY($Y5),"Capital",_xlfn.ANCHORARRAY($X5),"In",_xlfn.ANCHORARRAY(AJ5),"&gt;0"),0), IF(_xlpm.AvgCapCost=0,""," an average of " &amp; DOLLAR(_xlpm.AvgCapCost,2) &amp; " per unit to purchase"))</f>
        <v/>
      </c>
      <c r="BH5" s="7" t="str" cm="1">
        <f t="array" ref="BH5">_xlfn.LET(_xlpm.AvgCapCost, IFERROR(SUMIFS(_xlfn.ANCHORARRAY($AH5),_xlfn.ANCHORARRAY($W5),_xlfn.ANCHORARRAY($AM5),_xlfn.ANCHORARRAY($Y5),"capital",_xlfn.ANCHORARRAY($X5),"out",_xlfn.ANCHORARRAY(AJ5),"&gt;0")/SUMIFS(_xlfn.ANCHORARRAY($AG5),_xlfn.ANCHORARRAY($W5),_xlfn.ANCHORARRAY($AM5),_xlfn.ANCHORARRAY($Y5),"Capital",_xlfn.ANCHORARRAY($X5),"out",_xlfn.ANCHORARRAY(AJ5),"&gt;0"),0), IF(_xlpm.AvgCapCost=0,"","an average of " &amp; DOLLAR(_xlpm.AvgCapCost,2) &amp; " per unit. To purchase"))</f>
        <v/>
      </c>
      <c r="BI5" s="8" t="str" cm="1">
        <f t="array" ref="BI5">_xlfn.ANCHORARRAY(AR5)&amp;_xlfn.ANCHORARRAY(AS5)&amp;_xlfn.ANCHORARRAY(AW5)&amp;_xlfn.ANCHORARRAY(BA5)&amp;_xlfn.ANCHORARRAY(BE5)&amp;_xlfn.ANCHORARRAY(AT5)&amp;_xlfn.ANCHORARRAY(AX5)&amp;_xlfn.ANCHORARRAY(BB5)&amp;_xlfn.ANCHORARRAY(BF5)&amp;_xlfn.ANCHORARRAY(AU5)&amp;_xlfn.ANCHORARRAY(BG5)&amp;_xlfn.ANCHORARRAY(AY5)&amp;_xlfn.ANCHORARRAY(BC5)&amp;_xlfn.ANCHORARRAY(AV5)&amp;_xlfn.ANCHORARRAY(BH5)&amp;_xlfn.ANCHORARRAY(AZ5)&amp;_xlfn.ANCHORARRAY(BD5)&amp;CHAR(10)</f>
        <v xml:space="preserve">The amendments related to Activity Name Not Entered represent an annualized total  of $0. 
</v>
      </c>
      <c r="BJ5" s="147"/>
      <c r="BK5" s="147" cm="1">
        <f t="array" ref="BK5">_xlfn.ANCHORARRAY(AN5)+_xlfn.ANCHORARRAY(AO5)+_xlfn.ANCHORARRAY(AP5)+_xlfn.ANCHORARRAY(AQ5)</f>
        <v>0</v>
      </c>
      <c r="BL5" t="str" cm="1">
        <f t="array" ref="BL5">_xlfn.ANCHORARRAY(BI5)</f>
        <v xml:space="preserve">The amendments related to Activity Name Not Entered represent an annualized total  of $0. 
</v>
      </c>
      <c r="BM5" cm="1">
        <f t="array" ref="BM5:BN5">_xlfn._xlws.SORT(_xlfn.ANCHORARRAY(BK5):_xlfn.ANCHORARRAY(BL5),1,-1)</f>
        <v>0</v>
      </c>
      <c r="BN5" s="8" t="str">
        <v xml:space="preserve">The amendments related to Activity Name Not Entered represent an annualized total  of $0. 
</v>
      </c>
    </row>
    <row r="6" spans="2:116" x14ac:dyDescent="0.3">
      <c r="C6" s="88">
        <v>0.04</v>
      </c>
      <c r="D6">
        <v>14</v>
      </c>
      <c r="E6">
        <v>2016</v>
      </c>
      <c r="F6">
        <v>2019</v>
      </c>
      <c r="G6">
        <v>2026</v>
      </c>
      <c r="I6" t="str">
        <v>05 Middle management occupations in retail and wholesale trade and customer services ($43.58)</v>
      </c>
      <c r="N6" s="1"/>
      <c r="R6" t="s">
        <v>239</v>
      </c>
      <c r="AB6" s="149"/>
      <c r="AN6" s="147"/>
      <c r="AO6" s="147"/>
      <c r="AR6" s="162"/>
      <c r="AX6" s="8"/>
      <c r="BF6" s="8"/>
      <c r="BG6" s="7"/>
      <c r="BH6" s="7"/>
      <c r="BI6" s="49"/>
    </row>
    <row r="7" spans="2:116" x14ac:dyDescent="0.3">
      <c r="C7" s="88">
        <v>0.05</v>
      </c>
      <c r="D7">
        <v>15</v>
      </c>
      <c r="E7">
        <v>2017</v>
      </c>
      <c r="F7">
        <v>2018</v>
      </c>
      <c r="G7">
        <v>2027</v>
      </c>
      <c r="I7" t="str">
        <v>06 Middle management occupations in trades, transportation, production and utilities ($51.21)</v>
      </c>
      <c r="N7" s="3"/>
      <c r="O7" s="3"/>
      <c r="P7" s="3"/>
      <c r="R7" t="s">
        <v>240</v>
      </c>
      <c r="AN7" s="147"/>
      <c r="AO7" s="147"/>
      <c r="BG7" s="7"/>
      <c r="BH7" s="7"/>
      <c r="BI7" s="8"/>
    </row>
    <row r="8" spans="2:116" x14ac:dyDescent="0.3">
      <c r="C8" s="88">
        <v>6.0000000000000005E-2</v>
      </c>
      <c r="D8">
        <v>16</v>
      </c>
      <c r="E8">
        <v>2018</v>
      </c>
      <c r="F8">
        <v>2017</v>
      </c>
      <c r="G8">
        <v>2028</v>
      </c>
      <c r="I8" t="str">
        <v>07 Business, finance and administration occupations ($33.14)</v>
      </c>
      <c r="N8" s="3"/>
      <c r="O8" s="3"/>
      <c r="P8" s="3"/>
      <c r="R8" t="s">
        <v>241</v>
      </c>
      <c r="AN8" s="147"/>
      <c r="AO8" s="147"/>
      <c r="BG8" s="7"/>
      <c r="BH8" s="7"/>
      <c r="BI8" s="8"/>
    </row>
    <row r="9" spans="2:116" x14ac:dyDescent="0.3">
      <c r="C9" s="88">
        <v>7.0000000000000007E-2</v>
      </c>
      <c r="D9">
        <v>17</v>
      </c>
      <c r="E9">
        <v>2019</v>
      </c>
      <c r="F9">
        <v>2016</v>
      </c>
      <c r="G9">
        <v>2029</v>
      </c>
      <c r="I9" t="str">
        <v>08 Professional occupations in business and finance ($43.39)</v>
      </c>
      <c r="R9" t="s">
        <v>242</v>
      </c>
      <c r="AN9" s="147"/>
      <c r="AO9" s="147"/>
      <c r="BG9" s="7"/>
      <c r="BH9" s="7"/>
      <c r="BI9" s="8"/>
    </row>
    <row r="10" spans="2:116" x14ac:dyDescent="0.3">
      <c r="C10" s="88">
        <v>0.08</v>
      </c>
      <c r="D10">
        <v>18</v>
      </c>
      <c r="E10">
        <v>2020</v>
      </c>
      <c r="F10">
        <v>2015</v>
      </c>
      <c r="G10">
        <v>2030</v>
      </c>
      <c r="I10" t="str">
        <v>09 Administrative and financial supervisors and administrative occupations ($32.05)</v>
      </c>
      <c r="P10" s="17"/>
      <c r="R10" t="str">
        <f>"The one-for-one rule applies. There is no incremental change in administrative burden on business. The proposal repeals "
&amp; IF('Initiative Details'!D9&gt;1, 'Initiative Details'!D9 &amp; " existing regulations ","an existing regulation ")
&amp; "and adds " &amp; IF('Initiative Details'!D10&gt;1, 'Initiative Details'!D10&amp; " new regulatory titles, ", "a new regulatory title, ") &amp; "which results in " &amp; IF('Initiative Details'!D10-'Initiative Details'!D9&lt;0, "a net decrease ",IF('Initiative Details'!D10-'Initiative Details'!D9&gt;0, "a net increase ", "no net increase or decrease in regulatory titles." )) &amp; "of " &amp; ABS('Initiative Details'!D9-'Initiative Details'!D10) &amp; " regulatory titles."</f>
        <v>The one-for-one rule applies. There is no incremental change in administrative burden on business. The proposal repeals an existing regulation and adds a new regulatory title, which results in no net increase or decrease in regulatory titles.of 0 regulatory titles.</v>
      </c>
      <c r="AN10" s="147"/>
      <c r="AO10" s="147"/>
      <c r="BG10" s="7"/>
      <c r="BH10" s="7"/>
      <c r="BI10" s="8"/>
    </row>
    <row r="11" spans="2:116" x14ac:dyDescent="0.3">
      <c r="C11" s="88">
        <v>0.09</v>
      </c>
      <c r="D11">
        <v>19</v>
      </c>
      <c r="E11">
        <v>2021</v>
      </c>
      <c r="F11">
        <v>2014</v>
      </c>
      <c r="G11">
        <v>2031</v>
      </c>
      <c r="I11" t="str">
        <v>10 Finance, insurance and related business administrative occupations ($32.53)</v>
      </c>
      <c r="AN11" s="147"/>
      <c r="AO11" s="147"/>
      <c r="BG11" s="7"/>
      <c r="BH11" s="7"/>
      <c r="BI11" s="8"/>
    </row>
    <row r="12" spans="2:116" ht="18" customHeight="1" x14ac:dyDescent="0.3">
      <c r="C12" s="88">
        <v>9.9999999999999992E-2</v>
      </c>
      <c r="D12">
        <v>20</v>
      </c>
      <c r="E12">
        <v>2022</v>
      </c>
      <c r="F12">
        <v>2013</v>
      </c>
      <c r="G12">
        <v>2032</v>
      </c>
      <c r="I12" t="str">
        <v>11 Office support occupations ($25.93)</v>
      </c>
      <c r="R12" s="8" t="str">
        <f>IF(OneForOneLanding&lt;0,"The one-for-one rule applies since there is an incremental increase in administrative burden on business. The proposal is considered burden IN under the rule, and ",IF(OneForOneLanding&gt;0,"The one-for-one rule applies since there is an incremental decrease in administrative burden on business. The proposal is considered burden OUT under the rule, and ",
"The one for one rule does not apply as the changes in adminitrative burden on business offset each other, and ")) &amp;
_xlfn.XLOOKUP('Initiative Details'!$D$6,Controls!$P$22:$P$26,Controls!$S$22:$S$26,"There is no change in the number of titles",0,1)</f>
        <v xml:space="preserve">The one for one rule does not apply as the changes in adminitrative burden on business offset each other, and no regulatory titles are repealed or introduced. </v>
      </c>
      <c r="S12" s="14"/>
      <c r="U12" s="14"/>
    </row>
    <row r="13" spans="2:116" ht="16.5" customHeight="1" x14ac:dyDescent="0.3">
      <c r="D13">
        <v>21</v>
      </c>
      <c r="E13">
        <v>2023</v>
      </c>
      <c r="F13">
        <v>2012</v>
      </c>
      <c r="G13">
        <v>2033</v>
      </c>
      <c r="I13" t="str">
        <v>12 Distribution, tracking and scheduling co-ordination occupations ($26.45)</v>
      </c>
      <c r="R13" s="49" t="str">
        <f>IF('Initiative Details'!$D$6=$P$22, "The amendments ", "The regulations ") &amp; "would result in an annualized administrative "
&amp; IF(AND(COUNTIF(tbl_Activities[In or Out],"out")&gt;0,COUNTIF(tbl_Activities[In or Out],"in")&gt;0),"net ","total ")
&amp;IF(OneForOneLanding&lt;0,"cost of ","cost savings of ")
&amp;DOLLAR(ABS(OneForOneLanding),0)
&amp; ". " &amp; CHAR(10) &amp; R14 &amp; CHAR(10)
&amp;IF(COUNTIF(tbl_Activities[In or Out],"out")&gt;0, "The total annualized cost savings from reduced administrative burden is estimated to be " &amp; DOLLAR('One-for-one'!N40,0) &amp; ". " &amp; CHAR(10),  "")
&amp; IF(COUNTIF(tbl_Activities[In or Out],"in")&gt;0, "The total annualized cost of the incremental administrative burden is estimated to be " &amp; DOLLAR('One-for-one'!N33,0) &amp; ". " &amp; CHAR(10), "")
&amp;BN4</f>
        <v xml:space="preserve">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row>
    <row r="14" spans="2:116" x14ac:dyDescent="0.3">
      <c r="D14">
        <v>22</v>
      </c>
      <c r="E14">
        <v>2024</v>
      </c>
      <c r="F14">
        <v>2011</v>
      </c>
      <c r="I14" t="str">
        <v>13 Natural and applied sciences and related occupations ($44.37)</v>
      </c>
      <c r="R14" s="52" t="str">
        <f>"As per the Red Tape Reduction Regulations, the assessment of administrative impacts was conducted for a period of ten years commencing from registration. All values listed in this section are presented in 2012 dollars, discounted to 2012 at a rate of 7%."</f>
        <v>As per the Red Tape Reduction Regulations, the assessment of administrative impacts was conducted for a period of ten years commencing from registration. All values listed in this section are presented in 2012 dollars, discounted to 2012 at a rate of 7%.</v>
      </c>
      <c r="S14" s="14"/>
      <c r="BI14" s="8"/>
    </row>
    <row r="15" spans="2:116" x14ac:dyDescent="0.3">
      <c r="D15">
        <v>23</v>
      </c>
      <c r="E15">
        <v>2025</v>
      </c>
      <c r="F15">
        <v>2010</v>
      </c>
      <c r="I15" t="str">
        <v>14 Professional occupations in natural and applied sciences ($48.64)</v>
      </c>
    </row>
    <row r="16" spans="2:116" x14ac:dyDescent="0.3">
      <c r="D16">
        <v>24</v>
      </c>
      <c r="E16">
        <v>2026</v>
      </c>
      <c r="F16">
        <v>2009</v>
      </c>
      <c r="I16" t="str">
        <v>15 Technical occupations related to natural and applied sciences ($36.92)</v>
      </c>
      <c r="R16" t="s">
        <v>243</v>
      </c>
    </row>
    <row r="17" spans="4:21" x14ac:dyDescent="0.3">
      <c r="D17">
        <v>25</v>
      </c>
      <c r="E17">
        <v>2027</v>
      </c>
      <c r="F17">
        <v>2008</v>
      </c>
      <c r="I17" t="str">
        <v>16 Health occupations ($35.34)</v>
      </c>
      <c r="R17" t="s">
        <v>244</v>
      </c>
    </row>
    <row r="18" spans="4:21" x14ac:dyDescent="0.3">
      <c r="D18">
        <v>26</v>
      </c>
      <c r="E18">
        <v>2028</v>
      </c>
      <c r="F18">
        <v>2007</v>
      </c>
      <c r="I18" t="str">
        <v>17 Professional occupations in nursing ($43.92)</v>
      </c>
    </row>
    <row r="19" spans="4:21" x14ac:dyDescent="0.3">
      <c r="D19">
        <v>27</v>
      </c>
      <c r="E19">
        <v>2029</v>
      </c>
      <c r="F19">
        <v>2006</v>
      </c>
      <c r="I19" t="str">
        <v>18 Professional occupations in health (except nursing) ($46.16)</v>
      </c>
    </row>
    <row r="20" spans="4:21" x14ac:dyDescent="0.3">
      <c r="D20">
        <v>28</v>
      </c>
      <c r="E20">
        <v>2030</v>
      </c>
      <c r="F20">
        <v>2005</v>
      </c>
      <c r="I20" t="str">
        <v>19 Technical occupations in health ($33.05)</v>
      </c>
    </row>
    <row r="21" spans="4:21" x14ac:dyDescent="0.3">
      <c r="D21">
        <v>29</v>
      </c>
      <c r="E21">
        <v>2031</v>
      </c>
      <c r="F21">
        <v>2004</v>
      </c>
      <c r="I21" t="str">
        <v>20 Assisting occupations in support of health services ($24.59)</v>
      </c>
      <c r="Q21" t="s">
        <v>245</v>
      </c>
      <c r="R21" t="s">
        <v>246</v>
      </c>
      <c r="U21" t="str">
        <f>_xlfn.XLOOKUP('Initiative Details'!$D$6,Controls!$P$22:$P$26,Controls!$U$22:$U$26,0,0,1)</f>
        <v xml:space="preserve">The amendments related to </v>
      </c>
    </row>
    <row r="22" spans="4:21" x14ac:dyDescent="0.3">
      <c r="D22">
        <v>30</v>
      </c>
      <c r="E22">
        <v>2032</v>
      </c>
      <c r="F22">
        <v>2003</v>
      </c>
      <c r="I22" t="str">
        <v>21 Occupations in education, law and social, community and government services ($39.23)</v>
      </c>
      <c r="P22" t="s">
        <v>3</v>
      </c>
      <c r="Q22">
        <v>0</v>
      </c>
      <c r="R22">
        <v>0</v>
      </c>
      <c r="S22" t="s">
        <v>247</v>
      </c>
      <c r="U22" t="str">
        <f>"The amendments related to "</f>
        <v xml:space="preserve">The amendments related to </v>
      </c>
    </row>
    <row r="23" spans="4:21" x14ac:dyDescent="0.3">
      <c r="D23">
        <v>31</v>
      </c>
      <c r="E23">
        <v>2033</v>
      </c>
      <c r="F23">
        <v>2002</v>
      </c>
      <c r="I23" t="str">
        <v>22 Professional occupations in education services ($44.35)</v>
      </c>
      <c r="P23" t="s">
        <v>248</v>
      </c>
      <c r="Q23">
        <v>0</v>
      </c>
      <c r="R23">
        <v>1</v>
      </c>
      <c r="S23" t="s">
        <v>249</v>
      </c>
      <c r="U23" t="str">
        <f>"The new administrative requirements related to "</f>
        <v xml:space="preserve">The new administrative requirements related to </v>
      </c>
    </row>
    <row r="24" spans="4:21" x14ac:dyDescent="0.3">
      <c r="D24">
        <v>32</v>
      </c>
      <c r="E24">
        <v>2034</v>
      </c>
      <c r="I24" t="str">
        <v>23 Professional occupations in law and social, community and government services ($44.41)</v>
      </c>
      <c r="P24" t="s">
        <v>250</v>
      </c>
      <c r="Q24">
        <v>1</v>
      </c>
      <c r="R24">
        <v>0</v>
      </c>
      <c r="S24" t="s">
        <v>251</v>
      </c>
      <c r="U24" t="str">
        <f>" The repeal of administrative requirements related to "</f>
        <v xml:space="preserve"> The repeal of administrative requirements related to </v>
      </c>
    </row>
    <row r="25" spans="4:21" x14ac:dyDescent="0.3">
      <c r="D25">
        <v>33</v>
      </c>
      <c r="E25">
        <v>2035</v>
      </c>
      <c r="I25" t="str">
        <v>24 Paraprofessional occupations in legal, social, community and education services ($26.52)</v>
      </c>
      <c r="P25" t="s">
        <v>252</v>
      </c>
      <c r="Q25">
        <v>1</v>
      </c>
      <c r="R25">
        <v>1</v>
      </c>
      <c r="S25" t="s">
        <v>253</v>
      </c>
      <c r="U25" t="str">
        <f>"The administrative requirements related to "</f>
        <v xml:space="preserve">The administrative requirements related to </v>
      </c>
    </row>
    <row r="26" spans="4:21" x14ac:dyDescent="0.3">
      <c r="D26">
        <v>34</v>
      </c>
      <c r="E26">
        <v>2036</v>
      </c>
      <c r="I26" t="str">
        <v>25 Occupations in front-line public protection services ($49.20)</v>
      </c>
      <c r="P26" t="s">
        <v>254</v>
      </c>
      <c r="Q26" t="s">
        <v>255</v>
      </c>
      <c r="R26">
        <v>1</v>
      </c>
      <c r="S26" t="str">
        <f>_xlfn.CONCAT("the proposal repeals ", _xlfn.XLOOKUP('Initiative Details'!$D$9,$P$34:$P$43,Q34:Q43,'Initiative Details'!$D$9,0,1), " existing regulatory titles and adds ", _xlfn.XLOOKUP('Initiative Details'!$D$10,$P$34:$P$43,Q34:Q43,'Initiative Details'!$D$10,0,1), " new regulatory title; as a result, a net of ",_xlfn.XLOOKUP(ABS('Initiative Details'!$D$9 -'Initiative Details'!$D$10),$P$34:$P$43,Q34:Q43,ABS('Initiative Details'!$D$9 -'Initiative Details'!$D$10),0,1)," titles ", IF('Initiative Details'!$D$9 -'Initiative Details'!$D$10&lt;0,"in","out"), " is counted under the rule. ")</f>
        <v xml:space="preserve">the proposal repeals 0 existing regulatory titles and adds 0 new regulatory title; as a result, a net of 0 titles out is counted under the rule. </v>
      </c>
      <c r="U26" t="str">
        <f>"The administrative requirements related to "</f>
        <v xml:space="preserve">The administrative requirements related to </v>
      </c>
    </row>
    <row r="27" spans="4:21" x14ac:dyDescent="0.3">
      <c r="D27">
        <v>35</v>
      </c>
      <c r="E27">
        <v>2037</v>
      </c>
      <c r="I27" t="str">
        <v>26 Care providers and educational, legal and public protection support occupations ($26.47)</v>
      </c>
    </row>
    <row r="28" spans="4:21" x14ac:dyDescent="0.3">
      <c r="D28">
        <v>36</v>
      </c>
      <c r="E28">
        <v>2038</v>
      </c>
      <c r="I28" t="str">
        <v>27 Occupations in art, culture, recreation and sport ($31.49)</v>
      </c>
    </row>
    <row r="29" spans="4:21" x14ac:dyDescent="0.3">
      <c r="D29">
        <v>37</v>
      </c>
      <c r="E29">
        <v>2039</v>
      </c>
      <c r="I29" t="str">
        <v>28 Professional occupations in art and culture ($36.39)</v>
      </c>
    </row>
    <row r="30" spans="4:21" x14ac:dyDescent="0.3">
      <c r="D30">
        <v>38</v>
      </c>
      <c r="E30">
        <v>2040</v>
      </c>
      <c r="I30" t="str">
        <v>29 Technical occupations in art, culture, recreation and sport ($29.49)</v>
      </c>
    </row>
    <row r="31" spans="4:21" x14ac:dyDescent="0.3">
      <c r="D31">
        <v>39</v>
      </c>
      <c r="E31">
        <v>2041</v>
      </c>
      <c r="I31" t="str">
        <v>30 Sales and service occupations ($21.69)</v>
      </c>
    </row>
    <row r="32" spans="4:21" x14ac:dyDescent="0.3">
      <c r="D32">
        <v>40</v>
      </c>
      <c r="E32">
        <v>2042</v>
      </c>
      <c r="I32" t="str">
        <v>31 Retail sales supervisors and specialized sales occupations ($28.28)</v>
      </c>
    </row>
    <row r="33" spans="4:21" x14ac:dyDescent="0.3">
      <c r="D33">
        <v>41</v>
      </c>
      <c r="E33">
        <v>2043</v>
      </c>
      <c r="I33" t="str">
        <v>32 Service supervisors and specialized service occupations ($22.01)</v>
      </c>
      <c r="P33" t="s">
        <v>256</v>
      </c>
      <c r="Q33" t="s">
        <v>257</v>
      </c>
    </row>
    <row r="34" spans="4:21" x14ac:dyDescent="0.3">
      <c r="D34">
        <v>42</v>
      </c>
      <c r="E34">
        <v>2044</v>
      </c>
      <c r="I34" t="str">
        <v>33 Sales representatives and salespersons - wholesale and retail trade ($22.68)</v>
      </c>
      <c r="P34">
        <v>1</v>
      </c>
      <c r="Q34" t="s">
        <v>258</v>
      </c>
    </row>
    <row r="35" spans="4:21" x14ac:dyDescent="0.3">
      <c r="D35">
        <v>43</v>
      </c>
      <c r="E35">
        <v>2045</v>
      </c>
      <c r="I35" t="str">
        <v>34 Service representatives and other customer and personal services occupations ($21.82)</v>
      </c>
      <c r="P35">
        <v>2</v>
      </c>
      <c r="Q35" t="s">
        <v>259</v>
      </c>
    </row>
    <row r="36" spans="4:21" x14ac:dyDescent="0.3">
      <c r="D36">
        <v>44</v>
      </c>
      <c r="E36">
        <v>2046</v>
      </c>
      <c r="I36" t="str">
        <v>35 Sales support occupations ($17.14)</v>
      </c>
      <c r="P36">
        <v>3</v>
      </c>
      <c r="Q36" t="s">
        <v>260</v>
      </c>
      <c r="S36" s="7"/>
    </row>
    <row r="37" spans="4:21" x14ac:dyDescent="0.3">
      <c r="D37">
        <v>45</v>
      </c>
      <c r="E37">
        <v>2047</v>
      </c>
      <c r="I37" t="str">
        <v>36 Service support and other service occupations, n.e.c. ($19.46)</v>
      </c>
      <c r="P37">
        <v>4</v>
      </c>
      <c r="Q37" t="s">
        <v>261</v>
      </c>
    </row>
    <row r="38" spans="4:21" x14ac:dyDescent="0.3">
      <c r="D38">
        <v>46</v>
      </c>
      <c r="E38">
        <v>2048</v>
      </c>
      <c r="I38" t="str">
        <v>37 Trades, transport and equipment operators and related occupations ($31.81)</v>
      </c>
      <c r="P38">
        <v>5</v>
      </c>
      <c r="Q38" t="s">
        <v>262</v>
      </c>
    </row>
    <row r="39" spans="4:21" x14ac:dyDescent="0.3">
      <c r="D39">
        <v>47</v>
      </c>
      <c r="E39">
        <v>2049</v>
      </c>
      <c r="I39" t="str">
        <v>38 Industrial, electrical and construction trades ($35.58)</v>
      </c>
      <c r="P39">
        <v>6</v>
      </c>
      <c r="Q39" t="s">
        <v>263</v>
      </c>
    </row>
    <row r="40" spans="4:21" x14ac:dyDescent="0.3">
      <c r="D40">
        <v>48</v>
      </c>
      <c r="E40">
        <v>2050</v>
      </c>
      <c r="I40" t="str">
        <v>39 Maintenance and equipment operation trades ($36.11)</v>
      </c>
      <c r="P40">
        <v>7</v>
      </c>
      <c r="Q40" t="s">
        <v>264</v>
      </c>
    </row>
    <row r="41" spans="4:21" x14ac:dyDescent="0.3">
      <c r="D41">
        <v>49</v>
      </c>
      <c r="I41" t="str">
        <v>40 Other installers, repairers and servicers and material handlers ($24.55)</v>
      </c>
      <c r="P41">
        <v>8</v>
      </c>
      <c r="Q41" t="s">
        <v>265</v>
      </c>
    </row>
    <row r="42" spans="4:21" x14ac:dyDescent="0.3">
      <c r="D42">
        <v>50</v>
      </c>
      <c r="I42" t="str">
        <v>41 Transport and heavy equipment operation and related maintenance occupations ($27.68)</v>
      </c>
      <c r="P42">
        <v>9</v>
      </c>
      <c r="Q42" t="s">
        <v>266</v>
      </c>
      <c r="T42" s="19"/>
      <c r="U42" s="8"/>
    </row>
    <row r="43" spans="4:21" x14ac:dyDescent="0.3">
      <c r="D43">
        <v>51</v>
      </c>
      <c r="I43" t="str">
        <v>42 Trades helpers, construction labourers and related occupations ($26.73)</v>
      </c>
      <c r="P43">
        <v>10</v>
      </c>
      <c r="Q43" t="s">
        <v>267</v>
      </c>
      <c r="T43" s="8"/>
      <c r="U43" s="20"/>
    </row>
    <row r="44" spans="4:21" x14ac:dyDescent="0.3">
      <c r="D44">
        <v>52</v>
      </c>
      <c r="I44" t="str">
        <v>43 Natural resources, agriculture and related production occupations ($28.82)</v>
      </c>
      <c r="P44">
        <v>20</v>
      </c>
      <c r="Q44" t="s">
        <v>268</v>
      </c>
    </row>
    <row r="45" spans="4:21" x14ac:dyDescent="0.3">
      <c r="D45">
        <v>53</v>
      </c>
      <c r="I45" t="str">
        <v>44 Supervisors and technical occupations in natural resources, agriculture and related production ($39.19)</v>
      </c>
      <c r="P45">
        <v>30</v>
      </c>
      <c r="Q45" t="s">
        <v>269</v>
      </c>
    </row>
    <row r="46" spans="4:21" x14ac:dyDescent="0.3">
      <c r="D46">
        <v>54</v>
      </c>
      <c r="I46" t="str">
        <v>45 Workers in natural resources, agriculture and related production ($23.29)</v>
      </c>
      <c r="P46">
        <v>40</v>
      </c>
      <c r="Q46" t="s">
        <v>270</v>
      </c>
    </row>
    <row r="47" spans="4:21" x14ac:dyDescent="0.3">
      <c r="D47">
        <v>55</v>
      </c>
      <c r="I47" t="str">
        <v>46 Harvesting, landscaping and natural resources labourers ($23.48)</v>
      </c>
      <c r="P47">
        <v>50</v>
      </c>
      <c r="Q47" t="s">
        <v>271</v>
      </c>
    </row>
    <row r="48" spans="4:21" x14ac:dyDescent="0.3">
      <c r="D48">
        <v>56</v>
      </c>
      <c r="I48" t="str">
        <v>47 Occupations in manufacturing and utilities ($27.57)</v>
      </c>
      <c r="P48">
        <v>100</v>
      </c>
      <c r="Q48" t="s">
        <v>272</v>
      </c>
    </row>
    <row r="49" spans="4:19" x14ac:dyDescent="0.3">
      <c r="D49">
        <v>57</v>
      </c>
      <c r="I49" t="str">
        <v>48 Processing, manufacturing and utilities supervisors and central control operators ($38.89)</v>
      </c>
    </row>
    <row r="50" spans="4:19" x14ac:dyDescent="0.3">
      <c r="D50">
        <v>58</v>
      </c>
      <c r="I50" t="str">
        <v>49 Processing and manufacturing machine operators and related production workers ($24.82)</v>
      </c>
    </row>
    <row r="51" spans="4:19" x14ac:dyDescent="0.3">
      <c r="D51">
        <v>59</v>
      </c>
      <c r="I51" t="str">
        <v>50 Assemblers in manufacturing ($25.45)</v>
      </c>
    </row>
    <row r="52" spans="4:19" x14ac:dyDescent="0.3">
      <c r="D52">
        <v>60</v>
      </c>
      <c r="I52" t="str">
        <v>51 Labourers in processing, manufacturing and utilities ($21.76)</v>
      </c>
    </row>
    <row r="53" spans="4:19" x14ac:dyDescent="0.3">
      <c r="D53">
        <v>61</v>
      </c>
      <c r="I53" t="str">
        <v xml:space="preserve"> (custom wage not added yet)</v>
      </c>
    </row>
    <row r="54" spans="4:19" x14ac:dyDescent="0.3">
      <c r="D54">
        <v>62</v>
      </c>
      <c r="R54" s="51"/>
    </row>
    <row r="55" spans="4:19" x14ac:dyDescent="0.3">
      <c r="D55">
        <v>63</v>
      </c>
    </row>
    <row r="56" spans="4:19" x14ac:dyDescent="0.3">
      <c r="D56">
        <v>64</v>
      </c>
    </row>
    <row r="57" spans="4:19" x14ac:dyDescent="0.3">
      <c r="D57">
        <v>65</v>
      </c>
    </row>
    <row r="58" spans="4:19" x14ac:dyDescent="0.3">
      <c r="D58">
        <v>66</v>
      </c>
      <c r="P58" s="8"/>
      <c r="R58" s="18"/>
      <c r="S58" s="48"/>
    </row>
    <row r="59" spans="4:19" x14ac:dyDescent="0.3">
      <c r="D59">
        <v>67</v>
      </c>
      <c r="S59" s="48"/>
    </row>
    <row r="60" spans="4:19" x14ac:dyDescent="0.3">
      <c r="D60">
        <v>68</v>
      </c>
      <c r="S60" s="48"/>
    </row>
    <row r="61" spans="4:19" x14ac:dyDescent="0.3">
      <c r="D61">
        <v>69</v>
      </c>
    </row>
    <row r="62" spans="4:19" x14ac:dyDescent="0.3">
      <c r="D62">
        <v>70</v>
      </c>
    </row>
    <row r="63" spans="4:19" x14ac:dyDescent="0.3">
      <c r="D63">
        <v>71</v>
      </c>
    </row>
    <row r="64" spans="4:19" x14ac:dyDescent="0.3">
      <c r="D64">
        <v>72</v>
      </c>
      <c r="Q64" s="18"/>
      <c r="R64" s="7"/>
    </row>
    <row r="65" spans="4:4" x14ac:dyDescent="0.3">
      <c r="D65">
        <v>73</v>
      </c>
    </row>
    <row r="66" spans="4:4" x14ac:dyDescent="0.3">
      <c r="D66">
        <v>74</v>
      </c>
    </row>
    <row r="67" spans="4:4" x14ac:dyDescent="0.3">
      <c r="D67">
        <v>75</v>
      </c>
    </row>
    <row r="68" spans="4:4" x14ac:dyDescent="0.3">
      <c r="D68">
        <v>76</v>
      </c>
    </row>
    <row r="69" spans="4:4" x14ac:dyDescent="0.3">
      <c r="D69">
        <v>77</v>
      </c>
    </row>
    <row r="70" spans="4:4" x14ac:dyDescent="0.3">
      <c r="D70">
        <v>78</v>
      </c>
    </row>
    <row r="71" spans="4:4" x14ac:dyDescent="0.3">
      <c r="D71">
        <v>79</v>
      </c>
    </row>
    <row r="72" spans="4:4" x14ac:dyDescent="0.3">
      <c r="D72">
        <v>80</v>
      </c>
    </row>
    <row r="73" spans="4:4" x14ac:dyDescent="0.3">
      <c r="D73">
        <v>81</v>
      </c>
    </row>
    <row r="74" spans="4:4" x14ac:dyDescent="0.3">
      <c r="D74">
        <v>82</v>
      </c>
    </row>
    <row r="75" spans="4:4" x14ac:dyDescent="0.3">
      <c r="D75">
        <v>83</v>
      </c>
    </row>
    <row r="76" spans="4:4" x14ac:dyDescent="0.3">
      <c r="D76">
        <v>84</v>
      </c>
    </row>
    <row r="77" spans="4:4" x14ac:dyDescent="0.3">
      <c r="D77">
        <v>85</v>
      </c>
    </row>
    <row r="78" spans="4:4" x14ac:dyDescent="0.3">
      <c r="D78">
        <v>86</v>
      </c>
    </row>
    <row r="79" spans="4:4" x14ac:dyDescent="0.3">
      <c r="D79">
        <v>87</v>
      </c>
    </row>
    <row r="80" spans="4:4" x14ac:dyDescent="0.3">
      <c r="D80">
        <v>88</v>
      </c>
    </row>
    <row r="81" spans="4:4" x14ac:dyDescent="0.3">
      <c r="D81">
        <v>89</v>
      </c>
    </row>
    <row r="82" spans="4:4" x14ac:dyDescent="0.3">
      <c r="D82">
        <v>90</v>
      </c>
    </row>
    <row r="83" spans="4:4" x14ac:dyDescent="0.3">
      <c r="D83">
        <v>91</v>
      </c>
    </row>
    <row r="84" spans="4:4" x14ac:dyDescent="0.3">
      <c r="D84">
        <v>92</v>
      </c>
    </row>
    <row r="85" spans="4:4" x14ac:dyDescent="0.3">
      <c r="D85">
        <v>93</v>
      </c>
    </row>
    <row r="86" spans="4:4" x14ac:dyDescent="0.3">
      <c r="D86">
        <v>94</v>
      </c>
    </row>
    <row r="87" spans="4:4" x14ac:dyDescent="0.3">
      <c r="D87">
        <v>95</v>
      </c>
    </row>
    <row r="88" spans="4:4" x14ac:dyDescent="0.3">
      <c r="D88">
        <v>96</v>
      </c>
    </row>
    <row r="89" spans="4:4" x14ac:dyDescent="0.3">
      <c r="D89">
        <v>97</v>
      </c>
    </row>
    <row r="90" spans="4:4" x14ac:dyDescent="0.3">
      <c r="D90">
        <v>98</v>
      </c>
    </row>
    <row r="91" spans="4:4" x14ac:dyDescent="0.3">
      <c r="D91">
        <v>99</v>
      </c>
    </row>
    <row r="92" spans="4:4" x14ac:dyDescent="0.3">
      <c r="D92">
        <v>100</v>
      </c>
    </row>
  </sheetData>
  <dataValidations count="1">
    <dataValidation type="list" allowBlank="1" showInputMessage="1" showErrorMessage="1" sqref="H2" xr:uid="{3773CA78-172A-4EB1-B7EB-1325FCACBFA7}">
      <formula1>"0, 2"</formula1>
    </dataValidation>
  </dataValidations>
  <pageMargins left="0.7" right="0.7" top="0.75" bottom="0.75" header="0.3" footer="0.3"/>
  <pageSetup orientation="portrait" horizontalDpi="90" verticalDpi="90" r:id="rId1"/>
  <ignoredErrors>
    <ignoredError sqref="O3" calculatedColumn="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criptIds xmlns="http://schemas.microsoft.com/office/extensibility/maker/v1.0" id="script-ids-node-id">
  <scriptId id="ms-officescript%3A%2F%2Fonedrive_business_itemlink%2F01WMZAT7GUPQNBZRRPLVB3OLKUDC6ZUXX2:ms-officescript%3A%2F%2Fonedrive_business_sharinglink%2Fu!aHR0cHM6Ly8wMTRnYy1teS5zaGFyZXBvaW50LmNvbS86dTovZy9wZXJzb25hbC9hbmRyZXdfcmVpZF9sYWJvdXItdHJhdmFpbF9nY19jYTEvRWRSOEdoekdMMTFEdHkxVUdMMmFYdm9CQjdicnRZOFZJS0IwTEs3VG5BMldfdw"/>
  <scriptId xmlns="" id="ms-officescript%3A%2F%2Fonedrive_business_itemlink%2F01WMZAT7HHBMH3VBFI6NA3DRDH7ON5RDJS:ms-officescript%3A%2F%2Fonedrive_business_sharinglink%2Fu!aHR0cHM6Ly8wMTRnYy1teS5zaGFyZXBvaW50LmNvbS86dTovZy9wZXJzb25hbC9hbmRyZXdfcmVpZF9sYWJvdXItdHJhdmFpbF9nY19jYTEvRWVjTEQ3cUVxUE5Cc2NSbi01dllqVElCLUhFZldaQTZzWUpFUzJWVFBYMXM2UQ"/>
  <scriptId xmlns="" id="ms-officescript%3A%2F%2Fonedrive_business_itemlink%2F01WMZAT7CJUAOZNBQKMVGKYPAKL4YIKZXV:ms-officescript%3A%2F%2Fonedrive_business_sharinglink%2Fu!aHR0cHM6Ly8wMTRnYy1teS5zaGFyZXBvaW50LmNvbS86dTovZy9wZXJzb25hbC9hbmRyZXdfcmVpZF9sYWJvdXItdHJhdmFpbF9nY19jYTEvRVVtZ0haYUdDbVZNckR3S1h6Q0ZadlVCOGM3aDhTRkJzZDcwdGJydGphdzAwdw"/>
  <scriptId xmlns="" id="ms-officescript%3A%2F%2Fonedrive_business_itemlink%2F01WMZAT7D5ZFGXEE2DK5CJCDB5GEM7DUKE:ms-officescript%3A%2F%2Fonedrive_business_sharinglink%2Fu!aHR0cHM6Ly8wMTRnYy1teS5zaGFyZXBvaW50LmNvbS86dTovZy9wZXJzb25hbC9hbmRyZXdfcmVpZF9sYWJvdXItdHJhdmFpbF9nY19jYTEvRVgzSlRYSVRRMWRFa1F3OU1SbngwVVFCdFpONFBLWE1WY1B1d01UNWtXeGZ2QQ"/>
  <scriptId xmlns="" id="ms-officescript%3A%2F%2Fonedrive_business_itemlink%2F01WMZAT7EBX6B66RDLRVE35W63YGUZXBBI:ms-officescript%3A%2F%2Fonedrive_business_sharinglink%2Fu!aHR0cHM6Ly8wMTRnYy1teS5zaGFyZXBvaW50LmNvbS86dTovZy9wZXJzb25hbC9hbmRyZXdfcmVpZF9sYWJvdXItdHJhdmFpbF9nY19jYTEvRVlHX2ctOUVhNDFKdnR2YndhbWJoQ2dCc2pBUVJnWXVyTWc3em5TMFRDSXJ4Zw"/>
  <scriptId xmlns="" id="ms-officescript%3A%2F%2Fonedrive_business_itemlink%2F01WMZAT7FNXS3M3KF4N5B2W4FBPSZXPYBF:ms-officescript%3A%2F%2Fonedrive_business_sharinglink%2Fu!aHR0cHM6Ly8wMTRnYy1teS5zaGFyZXBvaW50LmNvbS86dTovZy9wZXJzb25hbC9hbmRyZXdfcmVpZF9sYWJvdXItdHJhdmFpbF9nY19jYTEvRWEyOHRzMm92RzlEcTNDaGZMTjM0Q1VCWUFxZDJQUW9BYUpMdDcyVVFKczB0Zw"/>
  <scriptId xmlns="" id="ms-officescript%3A%2F%2Fonedrive_business_itemlink%2F01WMZAT7GKZIYMB3NI2NEY4YCQEXSHTRXL:ms-officescript%3A%2F%2Fonedrive_business_sharinglink%2Fu!aHR0cHM6Ly8wMTRnYy1teS5zaGFyZXBvaW50LmNvbS86dTovZy9wZXJzb25hbC9hbmRyZXdfcmVpZF9sYWJvdXItdHJhdmFpbF9nY19jYTEvRWNyS01NRHRxTk5Kam1CUUplUjV4dXNCUks3enNGaEgzalJ5WFROTkF6VEladw"/>
</scriptIds>
</file>

<file path=customXml/item2.xml><?xml version="1.0" encoding="utf-8"?>
<ct:contentTypeSchema xmlns:ct="http://schemas.microsoft.com/office/2006/metadata/contentType" xmlns:ma="http://schemas.microsoft.com/office/2006/metadata/properties/metaAttributes" ct:_="" ma:_="" ma:contentTypeName="Document" ma:contentTypeID="0x01010065AD427A6A4EA84EAE9C0A2EB013E751" ma:contentTypeVersion="16" ma:contentTypeDescription="Create a new document." ma:contentTypeScope="" ma:versionID="1cf1093b6e95b27effd58c33d657053e">
  <xsd:schema xmlns:xsd="http://www.w3.org/2001/XMLSchema" xmlns:xs="http://www.w3.org/2001/XMLSchema" xmlns:p="http://schemas.microsoft.com/office/2006/metadata/properties" xmlns:ns2="4e83f676-8cd4-4cac-9a4e-1c9624eae427" xmlns:ns3="2abf2189-68c2-4ddb-adff-1183eca9c339" targetNamespace="http://schemas.microsoft.com/office/2006/metadata/properties" ma:root="true" ma:fieldsID="9a5f54b11784ca58ce1d0b8490228745" ns2:_="" ns3:_="">
    <xsd:import namespace="4e83f676-8cd4-4cac-9a4e-1c9624eae427"/>
    <xsd:import namespace="2abf2189-68c2-4ddb-adff-1183eca9c3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3f676-8cd4-4cac-9a4e-1c9624eae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bf3204f-aabd-4e28-9088-5d29a8bcebf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bf2189-68c2-4ddb-adff-1183eca9c3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984a7fe-7b14-42dc-aadd-a61c65704e8e}" ma:internalName="TaxCatchAll" ma:showField="CatchAllData" ma:web="2abf2189-68c2-4ddb-adff-1183eca9c3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abf2189-68c2-4ddb-adff-1183eca9c339" xsi:nil="true"/>
    <lcf76f155ced4ddcb4097134ff3c332f xmlns="4e83f676-8cd4-4cac-9a4e-1c9624eae427">
      <Terms xmlns="http://schemas.microsoft.com/office/infopath/2007/PartnerControls"/>
    </lcf76f155ced4ddcb4097134ff3c332f>
  </documentManagement>
</p:properties>
</file>

<file path=customXml/item5.xml>�� 
</file>

<file path=customXml/itemProps1.xml><?xml version="1.0" encoding="utf-8"?>
<ds:datastoreItem xmlns:ds="http://schemas.openxmlformats.org/officeDocument/2006/customXml" ds:itemID="{7FC1EC99-3BE4-476C-99BB-E843663DCA43}">
  <ds:schemaRefs>
    <ds:schemaRef ds:uri="http://schemas.microsoft.com/office/extensibility/maker/v1.0"/>
    <ds:schemaRef ds:uri=""/>
  </ds:schemaRefs>
</ds:datastoreItem>
</file>

<file path=customXml/itemProps2.xml><?xml version="1.0" encoding="utf-8"?>
<ds:datastoreItem xmlns:ds="http://schemas.openxmlformats.org/officeDocument/2006/customXml" ds:itemID="{4CD32C29-F255-44F0-B9AC-9CA1DD0AD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83f676-8cd4-4cac-9a4e-1c9624eae427"/>
    <ds:schemaRef ds:uri="2abf2189-68c2-4ddb-adff-1183eca9c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DE3F70-04F7-4834-A5AB-CF57101158CF}">
  <ds:schemaRefs>
    <ds:schemaRef ds:uri="http://schemas.microsoft.com/sharepoint/v3/contenttype/forms"/>
  </ds:schemaRefs>
</ds:datastoreItem>
</file>

<file path=customXml/itemProps4.xml><?xml version="1.0" encoding="utf-8"?>
<ds:datastoreItem xmlns:ds="http://schemas.openxmlformats.org/officeDocument/2006/customXml" ds:itemID="{D95EDFCC-17C6-45ED-BE18-15C465AE308F}">
  <ds:schemaRefs>
    <ds:schemaRef ds:uri="http://schemas.openxmlformats.org/package/2006/metadata/core-properties"/>
    <ds:schemaRef ds:uri="http://purl.org/dc/elements/1.1/"/>
    <ds:schemaRef ds:uri="http://schemas.microsoft.com/office/2006/metadata/properties"/>
    <ds:schemaRef ds:uri="http://purl.org/dc/dcmitype/"/>
    <ds:schemaRef ds:uri="4e83f676-8cd4-4cac-9a4e-1c9624eae427"/>
    <ds:schemaRef ds:uri="http://schemas.microsoft.com/office/2006/documentManagement/types"/>
    <ds:schemaRef ds:uri="http://schemas.microsoft.com/office/infopath/2007/PartnerControls"/>
    <ds:schemaRef ds:uri="2abf2189-68c2-4ddb-adff-1183eca9c339"/>
    <ds:schemaRef ds:uri="http://www.w3.org/XML/1998/namespace"/>
    <ds:schemaRef ds:uri="http://purl.org/dc/terms/"/>
  </ds:schemaRefs>
</ds:datastoreItem>
</file>

<file path=customXml/itemProps5.xml><?xml version="1.0" encoding="utf-8"?>
<ds:datastoreItem xmlns:ds="http://schemas.openxmlformats.org/officeDocument/2006/customXml" ds:itemID="{AAF567B0-53AE-4976-9FEF-74BC92060D8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Read Me</vt:lpstr>
      <vt:lpstr>Initiative Details</vt:lpstr>
      <vt:lpstr>Stakeholder Profile</vt:lpstr>
      <vt:lpstr>Activities</vt:lpstr>
      <vt:lpstr>One-for-one</vt:lpstr>
      <vt:lpstr>Small Business Lens</vt:lpstr>
      <vt:lpstr>Annual Stakeholder Count</vt:lpstr>
      <vt:lpstr>Net Impacts</vt:lpstr>
      <vt:lpstr>Net Impacts by Activity</vt:lpstr>
      <vt:lpstr>Net Impacts by Stakeholder</vt:lpstr>
      <vt:lpstr>Labour</vt:lpstr>
      <vt:lpstr>CPI</vt:lpstr>
      <vt:lpstr>Full Output</vt:lpstr>
      <vt:lpstr>Controls</vt:lpstr>
      <vt:lpstr>ActivityLanding</vt:lpstr>
      <vt:lpstr>AF</vt:lpstr>
      <vt:lpstr>AF_7_10</vt:lpstr>
      <vt:lpstr>AnnualStakeholderCounts</vt:lpstr>
      <vt:lpstr>Custom_Labour</vt:lpstr>
      <vt:lpstr>Discount</vt:lpstr>
      <vt:lpstr>FormulasLanding</vt:lpstr>
      <vt:lpstr>FullOutputLanding</vt:lpstr>
      <vt:lpstr>ImpactsByActivityLanding</vt:lpstr>
      <vt:lpstr>ImpactsByStakeholderLanding</vt:lpstr>
      <vt:lpstr>InitiativeDetailsLanding</vt:lpstr>
      <vt:lpstr>List_Amendment_Repeal</vt:lpstr>
      <vt:lpstr>List_New_Regulation_Repeal</vt:lpstr>
      <vt:lpstr>List_Repeal_and_Replace_Repeal</vt:lpstr>
      <vt:lpstr>List_Repeal_Only</vt:lpstr>
      <vt:lpstr>NetImpactsLanding</vt:lpstr>
      <vt:lpstr>OneForOneLanding</vt:lpstr>
      <vt:lpstr>OneforOneText</vt:lpstr>
      <vt:lpstr>PriceYear</vt:lpstr>
      <vt:lpstr>PVBaseYear</vt:lpstr>
      <vt:lpstr>SBLLanding</vt:lpstr>
      <vt:lpstr>StakeholderProfileLanding</vt:lpstr>
      <vt:lpstr>TenCount</vt:lpstr>
      <vt:lpstr>Timeperiod</vt:lpstr>
      <vt:lpstr>YearOfRegistration</vt:lpstr>
    </vt:vector>
  </TitlesOfParts>
  <Manager/>
  <Company>Gouvernement du Canada - Government of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Reid, Andrew AR [NC]</dc:creator>
  <cp:keywords/>
  <dc:description/>
  <cp:lastModifiedBy>Reid, Andrew AR [NC]</cp:lastModifiedBy>
  <cp:revision/>
  <dcterms:created xsi:type="dcterms:W3CDTF">2024-04-02T17:30:06Z</dcterms:created>
  <dcterms:modified xsi:type="dcterms:W3CDTF">2024-08-06T15:28:31Z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15d617-256d-4284-aedb-1064be1c4b48_Enabled">
    <vt:lpwstr>true</vt:lpwstr>
  </property>
  <property fmtid="{D5CDD505-2E9C-101B-9397-08002B2CF9AE}" pid="3" name="MSIP_Label_3515d617-256d-4284-aedb-1064be1c4b48_SetDate">
    <vt:lpwstr>2024-04-18T12:52:46Z</vt:lpwstr>
  </property>
  <property fmtid="{D5CDD505-2E9C-101B-9397-08002B2CF9AE}" pid="4" name="MSIP_Label_3515d617-256d-4284-aedb-1064be1c4b48_Method">
    <vt:lpwstr>Privileged</vt:lpwstr>
  </property>
  <property fmtid="{D5CDD505-2E9C-101B-9397-08002B2CF9AE}" pid="5" name="MSIP_Label_3515d617-256d-4284-aedb-1064be1c4b48_Name">
    <vt:lpwstr>3515d617-256d-4284-aedb-1064be1c4b48</vt:lpwstr>
  </property>
  <property fmtid="{D5CDD505-2E9C-101B-9397-08002B2CF9AE}" pid="6" name="MSIP_Label_3515d617-256d-4284-aedb-1064be1c4b48_SiteId">
    <vt:lpwstr>6397df10-4595-4047-9c4f-03311282152b</vt:lpwstr>
  </property>
  <property fmtid="{D5CDD505-2E9C-101B-9397-08002B2CF9AE}" pid="7" name="MSIP_Label_3515d617-256d-4284-aedb-1064be1c4b48_ActionId">
    <vt:lpwstr>7d8dfc8c-6cfe-4b8e-8058-689c0c2fc1ac</vt:lpwstr>
  </property>
  <property fmtid="{D5CDD505-2E9C-101B-9397-08002B2CF9AE}" pid="8" name="MSIP_Label_3515d617-256d-4284-aedb-1064be1c4b48_ContentBits">
    <vt:lpwstr>0</vt:lpwstr>
  </property>
  <property fmtid="{D5CDD505-2E9C-101B-9397-08002B2CF9AE}" pid="9" name="Solution ID">
    <vt:lpwstr>None</vt:lpwstr>
  </property>
  <property fmtid="{D5CDD505-2E9C-101B-9397-08002B2CF9AE}" pid="10" name="ContentTypeId">
    <vt:lpwstr>0x01010065AD427A6A4EA84EAE9C0A2EB013E751</vt:lpwstr>
  </property>
</Properties>
</file>