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tables/table4.xml" ContentType="application/vnd.openxmlformats-officedocument.spreadsheetml.table+xml"/>
  <Override PartName="/xl/queryTables/queryTable1.xml" ContentType="application/vnd.openxmlformats-officedocument.spreadsheetml.queryTable+xml"/>
  <Override PartName="/xl/drawings/drawing13.xml" ContentType="application/vnd.openxmlformats-officedocument.drawing+xml"/>
  <Override PartName="/xl/drawings/drawing14.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andrew.reid\Documents\"/>
    </mc:Choice>
  </mc:AlternateContent>
  <xr:revisionPtr revIDLastSave="0" documentId="13_ncr:1_{36402CCD-F73D-4AE2-B773-EA2324CBB809}" xr6:coauthVersionLast="47" xr6:coauthVersionMax="47" xr10:uidLastSave="{00000000-0000-0000-0000-000000000000}"/>
  <bookViews>
    <workbookView xWindow="-120" yWindow="-120" windowWidth="29040" windowHeight="15840" tabRatio="933" xr2:uid="{B31DFA44-6D76-4043-A2DA-831727713083}"/>
  </bookViews>
  <sheets>
    <sheet name="Read Me" sheetId="31" r:id="rId1"/>
    <sheet name="Initiative Details" sheetId="1" r:id="rId2"/>
    <sheet name="Stakeholder Profile" sheetId="8" r:id="rId3"/>
    <sheet name="Activities" sheetId="6" r:id="rId4"/>
    <sheet name="One-for-one" sheetId="9" r:id="rId5"/>
    <sheet name="Small Business Lens" sheetId="19" r:id="rId6"/>
    <sheet name="Annual Stakeholder Count" sheetId="37" r:id="rId7"/>
    <sheet name="Net Impacts" sheetId="34" r:id="rId8"/>
    <sheet name="Net Impacts by Activity" sheetId="35" r:id="rId9"/>
    <sheet name="Net Impacts by Stakeholder" sheetId="38" r:id="rId10"/>
    <sheet name="Labour" sheetId="18" r:id="rId11"/>
    <sheet name="CPI" sheetId="4" r:id="rId12"/>
    <sheet name="Full Output" sheetId="22" r:id="rId13"/>
    <sheet name="Controls" sheetId="10" r:id="rId14"/>
  </sheets>
  <definedNames>
    <definedName name="_xlnm._FilterDatabase" localSheetId="3" hidden="1">Activities!#REF!</definedName>
    <definedName name="_xlnm._FilterDatabase" localSheetId="12" hidden="1">'Full Output'!$B$1:$X$43</definedName>
    <definedName name="_xlnm._FilterDatabase" localSheetId="2" hidden="1">'Stakeholder Profile'!#REF!</definedName>
    <definedName name="ActivityLanding">tbl_Activities[[#Headers],[Activity]]</definedName>
    <definedName name="ActivityNumber">_xlfn.SEQUENCE(ROWS(tbl_Activities[Activity]))</definedName>
    <definedName name="ActivityType">_xlfn.LET(  _xlpm.Start, IF(tbl_Activities[Start Year]="Start of Analytical Period", YearOfRegistration, IF(tbl_Activities[Start Year]="End of Analytical Period", YearOfRegistration+Timeperiod-1, tbl_Activities[Start Year])),  _xlpm.End, IF(tbl_Activities[End Year]="Start of Analytical Period", YearOfRegistration, IF(tbl_Activities[End Year]="End of Analytical Period", YearOfRegistration+Timeperiod-1, tbl_Activities[End Year])),  _xlpm.Ongoing, tbl_Activities[Upfront or  Ongoing]="Ongoing", _xlpm.Upfront, tbl_Activities[Upfront or  Ongoing]="Upfront", _xlpm.Existing, tbl_Activities[Apply to Existing Stakeholders]=TRUE, _xlpm.New, tbl_Activities[Apply to New Entrants]=TRUE,  IF(_xlpm.Start&gt;_xlpm.End, 0, IF(--_xlpm.Ongoing+--_xlpm.Existing+--_xlpm.New=3, 1, IF(--_xlpm.Ongoing+--_xlpm.Existing=2, 2, IF(--_xlpm.Ongoing+--_xlpm.New=2, 3, IF(--_xlpm.Upfront+--_xlpm.Existing+--_xlpm.New=3, 4, IF(--_xlpm.Upfront+--_xlpm.Existing=2, 5, IF(--_xlpm.Upfront+--_xlpm.New=2, 6, 0))))))))</definedName>
    <definedName name="AF">Controls!$O$4</definedName>
    <definedName name="AF_7_10">Controls!$O$3</definedName>
    <definedName name="AffectedGroup">MATCH(INDEX(tbl_Activities[Affected Stakeholder Group],_xlfn.ANCHORARRAY( 'Full Output'!$A$2)), tbl_Stakeholders[Stakeholder Group], 0)</definedName>
    <definedName name="AnnualStakeholderCounts">'Annual Stakeholder Count'!$B$8</definedName>
    <definedName name="CheckAdminCapital">IF(--(tbl_Activities[Administrative or Compliance]="Administrative")+--(tbl_Activities[Capital or Labour]="Capital")=2, 1, 0)</definedName>
    <definedName name="CheckAppliesToNoone">IF(--(tbl_Activities[Apply to Existing Stakeholders])+--(tbl_Activities[Apply to New Entrants])=0, 1, 0)</definedName>
    <definedName name="Checkblank">(tbl_Activities[Activity]&lt;&gt;"")*(tbl_Activities[Administrative or Compliance]&lt;&gt;"")*(tbl_Activities[In or Out]&lt;&gt;"")*(tbl_Activities[Upfront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definedName>
    <definedName name="Checkblank_wages">(tbl_Wages[National Occupational Classification (NOC)]&lt;&gt;"")*(tbl_Wages[Price year of data source]&lt;&gt;"")*(tbl_Wages[Wage in price year of data source (without overhead)]&lt;&gt;"")</definedName>
    <definedName name="CheckMedLarge">IFERROR(--(--(tbl_Activities[Affected Stakeholder Type]="Med/Large Businesses")+--(IFERROR((INDEX(tbl_Stakeholders[Med/Large Business Count], MATCH(tbl_Activities[Affected Stakeholder Group], tbl_Stakeholders[Stakeholder Group], 0))=0), 0))+--(IF(tbl_Activities[Affected Stakeholder Group]="All Groups", SUM(tbl_Stakeholders[Med/Large Business Count])=0))=2), "")</definedName>
    <definedName name="CheckNonBusiness">IFERROR(--(--(tbl_Activities[Affected Stakeholder Type]="All Non-businesses")+--(IFERROR((INDEX(tbl_Stakeholders[Non-business Count], MATCH(tbl_Activities[Affected Stakeholder Group], tbl_Stakeholders[Stakeholder Group], 0))=0), 0))+--(IF(tbl_Activities[Affected Stakeholder Group]="All Groups", SUM(tbl_Stakeholders[Non-business Count])=0))=2), "")</definedName>
    <definedName name="CheckSmall">IFERROR(--(--(tbl_Activities[Affected Stakeholder Type]="Small Businesses")+--(IFERROR((INDEX(tbl_Stakeholders[Small Business Count], MATCH(tbl_Activities[Affected Stakeholder Group], tbl_Stakeholders[Stakeholder Group], 0))=0), 0))+--(IF(tbl_Activities[Affected Stakeholder Group]="All Groups", SUM(tbl_Stakeholders[Small Business Count])=0))=2), "")</definedName>
    <definedName name="CheckStakeholders">IF(--(tbl_Activities[Affected Stakeholder Group]="")+--(tbl_Activities[Affected Stakeholder Group]="All Groups")= 1, 1,  COUNTIF(tbl_Stakeholders[Stakeholder Group], tbl_Activities[Affected Stakeholder Group]))</definedName>
    <definedName name="CheckStartEnd">_xlfn.LET(      _xlpm.Start, _xlfn.IFS(tbl_Activities[Start Year]="Start of Analytical Period", YearOfRegistration,tbl_Activities[Start Year]="End of Analytical Period", YearOfRegistration+Timeperiod-1, TRUE, tbl_Activities[Start Year]),      _xlpm.End, _xlfn.IFS(tbl_Activities[End Year]="Start of Analytical Period", YearOfRegistration,tbl_Activities[End Year]="End of Analytical Period", YearOfRegistration+Timeperiod-1, TRUE, tbl_Activities[End Year]), IF(_xlpm.Start&gt;_xlpm.End, 1, 0))</definedName>
    <definedName name="CheckUpfrontFreq">IF(--(tbl_Activities[Upfront or  Ongoing]="Upfront")+--(tbl_Activities[Annual Frequency]&lt;&gt;1)=2, 1, 0)</definedName>
    <definedName name="CheckWages">IFERROR(IF(_xlfn.TEXTBEFORE(_xlfn.TEXTAFTER(tbl_Activities[Labour: Staff Level (Wage Without Overhead)], "($"), ")")=INDEX(_xlfn.TEXTBEFORE(_xlfn.TEXTAFTER(_xlfn.ANCHORARRAY(Controls!$I$2), "($"), ")"), MATCH(_xlfn.TEXTBEFORE(tbl_Activities[Labour: Staff Level (Wage Without Overhead)], " ($"), _xlfn.TEXTBEFORE(_xlfn.ANCHORARRAY(Controls!$I$2), " ($"), 0)), 0, 1), "")</definedName>
    <definedName name="Custom_Labour">Labour!$A$66</definedName>
    <definedName name="Discount">'Initiative Details'!$D$15</definedName>
    <definedName name="ExternalData_1" localSheetId="11" hidden="1">CPI!$C$14:$D$36</definedName>
    <definedName name="FormulasLanding">Controls!$BV$1</definedName>
    <definedName name="FullOutputLanding">'Full Output'!$A$1</definedName>
    <definedName name="ImpactsByActivityLanding">'Net Impacts by Activity'!$B$17</definedName>
    <definedName name="ImpactsByStakeholderLanding">'Net Impacts by Stakeholder'!$B$2</definedName>
    <definedName name="InitiativeDetailsLanding">'Initiative Details'!$C$5</definedName>
    <definedName name="Introduced_Formula">_xlfn.XLOOKUP('Initiative Details'!$D$6,Controls!$P$22:$P$26,Controls!$R$22:$R$26,"",0,1)</definedName>
    <definedName name="List_Amendment_Repeal">Controls!$Q$22</definedName>
    <definedName name="List_New_Regulation_Repeal">Controls!$Q$23</definedName>
    <definedName name="List_Repeal_and_Replace_Repeal">Controls!$Q$25</definedName>
    <definedName name="List_Repeal_Only">Controls!$Q$24</definedName>
    <definedName name="MedLargeBusinessCounts">_xlfn._xlws.FILTER(tbl_Stakeholders[Med/Large Business Count], tbl_Stakeholders[Stakeholder Group]&lt;&gt;"")</definedName>
    <definedName name="MedLargeBusinessGrowthRates">_xlfn._xlws.FILTER(tbl_Stakeholders[Med/Large Business Growth Rate], tbl_Stakeholders[Stakeholder Group]&lt;&gt;"")</definedName>
    <definedName name="NetImpactsLanding">'Net Impacts'!$B$15</definedName>
    <definedName name="NonBusinessCounts">_xlfn._xlws.FILTER(tbl_Stakeholders[Non-business Count], tbl_Stakeholders[Stakeholder Group]&lt;&gt;"")</definedName>
    <definedName name="NonBusinessGrowthRates">_xlfn._xlws.FILTER(tbl_Stakeholders[Non-business Growth Rate], tbl_Stakeholders[Stakeholder Group]&lt;&gt;"")</definedName>
    <definedName name="OneforOne_CPI_Conversion">INDEX(tbl_CPI[Index], MATCH(2012, tbl_CPI[Year], 0))/INDEX(tbl_CPI[Index], MATCH(PriceYear, tbl_CPI[Year], 0))</definedName>
    <definedName name="OneForOneLanding">'One-for-one'!$C$17</definedName>
    <definedName name="OneforOneText">Controls!$R$2</definedName>
    <definedName name="OutputRows">ROWS(_xlfn.ANCHORARRAY('Full Output'!$A$2))</definedName>
    <definedName name="Periods">_xlfn.LET( _xlpm.Start, "Start of Analytical Period", _xlpm.End, "End of Analytical Period", _xlpm.Years, IF(tbl_Activities[Start Year]=tbl_Activities[End Year], 1, IF(--(tbl_Activities[Start Year]=_xlpm.Start)+--(tbl_Activities[End Year]=_xlpm.End)=2, Timeperiod, IF(tbl_Activities[Start Year]=_xlpm.Start, tbl_Activities[End Year]-YearOfRegistration+1, IF(--(tbl_Activities[Start Year]=_xlpm.End)+--(tbl_Activities[End Year]=YearOfRegistration+Timeperiod-1)=2, 1, IF(tbl_Activities[End Year]=_xlpm.End, YearOfRegistration+Timeperiod-tbl_Activities[Start Year], IF(--(tbl_Activities[Start Year]=_xlpm.End)+--(tbl_Activities[End Year]=_xlpm.Start)=2, 0, IF(tbl_Activities[Start Year]&gt;tbl_Activities[End Year], 0, IF(--(tbl_Activities[End Year]=_xlpm.Start)+--(tbl_Activities[Start Year]=YearOfRegistration)=2, 1, tbl_Activities[End Year]-tbl_Activities[Start Year]+1)))))))), ROUNDDOWN(IF(tbl_Activities[Upfront or  Ongoing]="Upfront", _xlpm.Years+1, IF(tbl_Activities[Upfront or  Ongoing]="Ongoing", tbl_Activities[Annual Frequency]*_xlpm.Years)), 0))</definedName>
    <definedName name="PriceYear">'Initiative Details'!$D$11</definedName>
    <definedName name="PVBaseYear">'Initiative Details'!$D$13</definedName>
    <definedName name="Repealed_Formula">_xlfn.XLOOKUP('Initiative Details'!$D$6,Controls!$P$22:$P$26,Controls!$Q$22:$Q18,"",0,1)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SBLLanding">'Small Business Lens'!$B$20</definedName>
    <definedName name="SmallBusinessCounts">_xlfn._xlws.FILTER(tbl_Stakeholders[Small Business Count], tbl_Stakeholders[Stakeholder Group]&lt;&gt;"")</definedName>
    <definedName name="SmallBusinessGrowthRates">_xlfn._xlws.FILTER(tbl_Stakeholders[Small Business Growth Rate], tbl_Stakeholders[Stakeholder Group]&lt;&gt;"")</definedName>
    <definedName name="StakeholderCols">COUNTA(_xlfn._xlws.FILTER(tbl_Stakeholders[Stakeholder Group], tbl_Stakeholders[Stakeholder Group]&lt;&gt;""))</definedName>
    <definedName name="StakeholderGroupsTotal">_xlfn.VSTACK("Stakeholder Group", _xlfn.UNIQUE(_xlfn._xlws.FILTER(tbl_Stakeholders[Stakeholder Group], tbl_Stakeholders[Stakeholder Group]&lt;&gt;"")), "Total")</definedName>
    <definedName name="StakeholderProfileLanding">'Stakeholder Profile'!$B$16</definedName>
    <definedName name="TenCount">Controls!$P$33:$P$43</definedName>
    <definedName name="Timeperiod">'Initiative Details'!$D$14</definedName>
    <definedName name="TypeHere_Activities">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definedName>
    <definedName name="TypeHere_Stakeholders">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definedName>
    <definedName name="TypeHere_Wages">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definedName>
    <definedName name="WageLookup">IFERROR(INDEX(tbl_Wages[Wage in price year of analysis (without overhead)], MATCH(tbl_Activities[[#This Row],[Labour: Staff Level (Wage Without Overhead)]], tbl_Wages[National Occupational Classification (NOC)], 0))*(1+_xlfn.IFS(tbl_Activities[[#This Row],[Labour: Internal or External Overhead]]="Internal", 0.25, tbl_Activities[[#This Row],[Labour: Internal or External Overhead]]="External", 0.5, TRUE, 0)), "")</definedName>
    <definedName name="YearHeader_Discounted">_xlfn.HSTACK(_xlfn.SEQUENCE(, Timeperiod, YearOfRegistration), "Total", "Annualized")</definedName>
    <definedName name="YearHeader_Undiscounted">_xlfn.HSTACK(_xlfn.SEQUENCE(, Timeperiod, YearOfRegistration), "Total")</definedName>
    <definedName name="YearOfRegistration">'Initiative Details'!$D$12</definedName>
    <definedName name="Years_since_2012">PVBaseYear-2012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 l="1" a="1"/>
  <c r="B2" i="10" s="1"/>
  <c r="DJ1" i="10" l="1"/>
  <c r="CH1" i="10"/>
  <c r="AP1" i="22" l="1" a="1"/>
  <c r="AP1" i="22" s="1"/>
  <c r="F2" i="10" a="1"/>
  <c r="F2" i="10" s="1"/>
  <c r="U26" i="10"/>
  <c r="U25" i="10"/>
  <c r="U24" i="10"/>
  <c r="U23" i="10"/>
  <c r="U22" i="10"/>
  <c r="V5" i="10" l="1" a="1"/>
  <c r="V5" i="10" s="1"/>
  <c r="Y5" i="10" s="1" a="1"/>
  <c r="Y5" i="10" s="1"/>
  <c r="U21" i="10"/>
  <c r="X5" i="10" l="1" a="1"/>
  <c r="X5" i="10" s="1"/>
  <c r="Z5" i="10" a="1"/>
  <c r="Z5" i="10" s="1"/>
  <c r="AB5" i="10" a="1"/>
  <c r="AB5" i="10" s="1"/>
  <c r="W5" i="10" a="1"/>
  <c r="W5" i="10" s="1"/>
  <c r="AM5" i="10" s="1" a="1"/>
  <c r="AM5" i="10" s="1"/>
  <c r="F17" i="8"/>
  <c r="G17" i="8" s="1"/>
  <c r="AC5" i="10" l="1" a="1"/>
  <c r="AC5" i="10" s="1"/>
  <c r="AA5" i="10" a="1"/>
  <c r="AA5" i="10" s="1"/>
  <c r="A2" i="22" a="1"/>
  <c r="A2" i="22" s="1"/>
  <c r="AA2" i="22" l="1" a="1"/>
  <c r="AA2" i="22" s="1"/>
  <c r="AC2" i="22" a="1"/>
  <c r="AC2" i="22" s="1"/>
  <c r="AB2" i="22" a="1"/>
  <c r="AB2" i="22" s="1"/>
  <c r="G2" i="22" a="1"/>
  <c r="G2" i="22" s="1"/>
  <c r="AG2" i="22" a="1"/>
  <c r="AG2" i="22" s="1"/>
  <c r="AG5" i="10" a="1"/>
  <c r="AG5" i="10" s="1"/>
  <c r="AH5" i="10" s="1" a="1"/>
  <c r="AH5" i="10" s="1"/>
  <c r="AE5" i="10" a="1"/>
  <c r="AE5" i="10" s="1"/>
  <c r="H2" i="22" a="1"/>
  <c r="H2" i="22" s="1"/>
  <c r="B2" i="22" a="1"/>
  <c r="B2" i="22" s="1"/>
  <c r="C2" i="22" a="1"/>
  <c r="C2" i="22" s="1"/>
  <c r="I2" i="22" a="1"/>
  <c r="I2" i="22" s="1"/>
  <c r="D2" i="22" a="1"/>
  <c r="D2" i="22" s="1"/>
  <c r="F2" i="22" a="1"/>
  <c r="F2" i="22" s="1"/>
  <c r="E2" i="22" l="1" a="1"/>
  <c r="E2" i="22" s="1"/>
  <c r="AE2" i="22" a="1"/>
  <c r="AE2" i="22" s="1"/>
  <c r="AD2" i="22" a="1"/>
  <c r="AD2" i="22" s="1"/>
  <c r="AF2" i="22" a="1"/>
  <c r="AF2" i="22" s="1"/>
  <c r="A16" i="8" a="1"/>
  <c r="A16" i="8" s="1"/>
  <c r="B14" i="18" l="1" a="1"/>
  <c r="B14" i="18" s="1"/>
  <c r="AO1" i="22" l="1"/>
  <c r="B17" i="34"/>
  <c r="B16" i="34"/>
  <c r="C7" i="38" l="1"/>
  <c r="C6" i="38"/>
  <c r="C5" i="38"/>
  <c r="D2" i="10" a="1"/>
  <c r="D2" i="10" s="1"/>
  <c r="E2" i="10" a="1"/>
  <c r="E2" i="10" s="1"/>
  <c r="C2" i="10" a="1"/>
  <c r="C2" i="10" s="1"/>
  <c r="C15" i="34" a="1"/>
  <c r="C15" i="34" s="1"/>
  <c r="E7" i="37" a="1"/>
  <c r="E7" i="37" s="1"/>
  <c r="D8" i="37" a="1"/>
  <c r="D8" i="37" s="1"/>
  <c r="C9" i="37" a="1"/>
  <c r="C9" i="37" s="1"/>
  <c r="B9" i="37" a="1"/>
  <c r="B9" i="37" s="1"/>
  <c r="C7" i="34"/>
  <c r="C6" i="34"/>
  <c r="C5" i="34"/>
  <c r="C7" i="35"/>
  <c r="C6" i="35"/>
  <c r="C5" i="35"/>
  <c r="E9" i="37" l="1" a="1"/>
  <c r="E9" i="37" s="1"/>
  <c r="B15" i="4" a="1"/>
  <c r="B15" i="4" s="1"/>
  <c r="D9" i="37" l="1" a="1"/>
  <c r="D9" i="37" s="1"/>
  <c r="D10" i="1" l="1" a="1"/>
  <c r="D10" i="1" s="1"/>
  <c r="S26" i="10" s="1"/>
  <c r="R14" i="10"/>
  <c r="R10" i="10" l="1"/>
  <c r="R5" i="10" s="1"/>
  <c r="C7" i="9"/>
  <c r="F15" i="18" l="1"/>
  <c r="F16" i="18"/>
  <c r="F17" i="18"/>
  <c r="F18" i="18"/>
  <c r="F19" i="18"/>
  <c r="F20" i="18"/>
  <c r="F21" i="18"/>
  <c r="F22" i="18"/>
  <c r="F23" i="18"/>
  <c r="F24" i="18"/>
  <c r="F25" i="18"/>
  <c r="F26" i="18"/>
  <c r="F27" i="18"/>
  <c r="F28" i="18"/>
  <c r="F29" i="18"/>
  <c r="F30" i="18"/>
  <c r="M2" i="22" s="1" a="1"/>
  <c r="M2" i="22" s="1"/>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AD5" i="10" l="1" a="1"/>
  <c r="AD5" i="10" s="1"/>
  <c r="AF5" i="10" s="1" a="1"/>
  <c r="AF5" i="10" s="1"/>
  <c r="I2" i="10" a="1"/>
  <c r="I2" i="10" s="1"/>
  <c r="U15" i="6" s="1" a="1"/>
  <c r="U15" i="6" s="1"/>
  <c r="B45" i="9"/>
  <c r="B44" i="9"/>
  <c r="B38" i="9"/>
  <c r="B37" i="9"/>
  <c r="B31" i="9"/>
  <c r="B30" i="9"/>
  <c r="C43" i="9" a="1"/>
  <c r="C43" i="9" s="1"/>
  <c r="C36" i="9" a="1"/>
  <c r="C36" i="9" s="1"/>
  <c r="C29" i="9" a="1"/>
  <c r="C29" i="9" s="1"/>
  <c r="G2" i="10" a="1"/>
  <c r="G2" i="10" s="1"/>
  <c r="M1" i="22" l="1"/>
  <c r="C10" i="19" l="1"/>
  <c r="C6" i="9" l="1"/>
  <c r="C7" i="19" l="1"/>
  <c r="C6" i="19"/>
  <c r="C9" i="19"/>
  <c r="C8" i="19"/>
  <c r="O4" i="10" l="1"/>
  <c r="O3" i="10" l="1"/>
  <c r="A14" i="6" l="1" a="1"/>
  <c r="A14" i="6" s="1"/>
  <c r="AH2" i="22" l="1" a="1"/>
  <c r="AH2" i="22" s="1"/>
  <c r="AL2" i="22" a="1"/>
  <c r="AL2" i="22" s="1"/>
  <c r="AI2" i="22" a="1"/>
  <c r="AI2" i="22" s="1"/>
  <c r="AK2" i="22" a="1"/>
  <c r="AK2" i="22" s="1"/>
  <c r="AJ2" i="22" a="1"/>
  <c r="AJ2" i="22" s="1"/>
  <c r="AM2" i="22" a="1"/>
  <c r="AM2" i="22" s="1"/>
  <c r="J2" i="22" l="1" a="1"/>
  <c r="J2" i="22" s="1"/>
  <c r="L2" i="22" l="1" a="1"/>
  <c r="L2" i="22" s="1"/>
  <c r="P2" i="22" s="1" a="1"/>
  <c r="P2" i="22" s="1"/>
  <c r="U2" i="22" s="1" a="1"/>
  <c r="U2" i="22" s="1"/>
  <c r="K2" i="22" a="1"/>
  <c r="K2" i="22" s="1"/>
  <c r="AJ5" i="10" l="1" a="1"/>
  <c r="AJ5" i="10" s="1"/>
  <c r="AP2" i="22" a="1"/>
  <c r="N2" i="22" a="1"/>
  <c r="N2" i="22" s="1"/>
  <c r="S2" i="22" s="1" a="1"/>
  <c r="S2" i="22" s="1"/>
  <c r="O2" i="22" a="1"/>
  <c r="O2" i="22" s="1"/>
  <c r="X2" i="22" s="1" a="1"/>
  <c r="X2" i="22" s="1"/>
  <c r="BE5" i="10" l="1" a="1"/>
  <c r="BE5" i="10" s="1"/>
  <c r="BF5" i="10" a="1"/>
  <c r="BF5" i="10" s="1"/>
  <c r="AS5" i="10" a="1"/>
  <c r="AS5" i="10" s="1"/>
  <c r="AW5" i="10" a="1"/>
  <c r="AW5" i="10" s="1"/>
  <c r="AV5" i="10" a="1"/>
  <c r="AV5" i="10" s="1"/>
  <c r="BD5" i="10" a="1"/>
  <c r="BD5" i="10" s="1"/>
  <c r="BB5" i="10" a="1"/>
  <c r="BB5" i="10" s="1"/>
  <c r="BA5" i="10" a="1"/>
  <c r="BA5" i="10" s="1"/>
  <c r="BC5" i="10" a="1"/>
  <c r="BC5" i="10" s="1"/>
  <c r="AZ5" i="10" a="1"/>
  <c r="AZ5" i="10" s="1"/>
  <c r="AY5" i="10" a="1"/>
  <c r="AY5" i="10" s="1"/>
  <c r="AX5" i="10" a="1"/>
  <c r="AX5" i="10" s="1"/>
  <c r="BG5" i="10" a="1"/>
  <c r="BG5" i="10" s="1"/>
  <c r="BH5" i="10" a="1"/>
  <c r="BH5" i="10" s="1"/>
  <c r="AT5" i="10" a="1"/>
  <c r="AT5" i="10" s="1"/>
  <c r="AU5" i="10" a="1"/>
  <c r="AU5" i="10" s="1"/>
  <c r="AP2" i="22"/>
  <c r="B15" i="38" s="1" a="1"/>
  <c r="B15" i="38" s="1"/>
  <c r="T2" i="22" a="1"/>
  <c r="T2" i="22" s="1"/>
  <c r="B18" i="19" s="1" a="1"/>
  <c r="B18" i="19" s="1"/>
  <c r="Q2" i="22" a="1"/>
  <c r="Q2" i="22" s="1"/>
  <c r="AI5" i="10" a="1"/>
  <c r="AI5" i="10" s="1"/>
  <c r="AN5" i="10" s="1" a="1"/>
  <c r="AN5" i="10" s="1"/>
  <c r="AO5" i="10" l="1" a="1"/>
  <c r="AO5" i="10" s="1"/>
  <c r="AP5" i="10" a="1"/>
  <c r="AP5" i="10" s="1"/>
  <c r="AQ5" i="10" a="1"/>
  <c r="AQ5" i="10" s="1"/>
  <c r="C38" i="9" a="1"/>
  <c r="C38" i="9" s="1"/>
  <c r="C31" i="9" a="1"/>
  <c r="C31" i="9" s="1"/>
  <c r="R2" i="22" a="1"/>
  <c r="R2" i="22" s="1"/>
  <c r="C17" i="34" s="1" a="1"/>
  <c r="C17" i="34" s="1"/>
  <c r="C30" i="9" a="1"/>
  <c r="C30" i="9" s="1"/>
  <c r="C37" i="9" a="1"/>
  <c r="C37" i="9" s="1"/>
  <c r="V2" i="22" a="1"/>
  <c r="V2" i="22" s="1"/>
  <c r="AR5" i="10" l="1" a="1"/>
  <c r="AR5" i="10" s="1"/>
  <c r="BI5" i="10" s="1" a="1"/>
  <c r="BI5" i="10" s="1"/>
  <c r="BL5" i="10" s="1" a="1"/>
  <c r="BL5" i="10" s="1"/>
  <c r="BK5" i="10" a="1"/>
  <c r="BK5" i="10" s="1"/>
  <c r="W2" i="22" a="1"/>
  <c r="W2" i="22" s="1"/>
  <c r="M38" i="9"/>
  <c r="N38" i="9" s="1"/>
  <c r="C45" i="9" a="1"/>
  <c r="C45" i="9" s="1"/>
  <c r="M45" i="9" s="1"/>
  <c r="N45" i="9" s="1"/>
  <c r="C40" i="9" a="1"/>
  <c r="C40" i="9" s="1"/>
  <c r="C44" i="9" a="1"/>
  <c r="C44" i="9" s="1"/>
  <c r="M44" i="9" s="1"/>
  <c r="M37" i="9"/>
  <c r="C39" i="9" a="1"/>
  <c r="C39" i="9" s="1"/>
  <c r="M30" i="9"/>
  <c r="C32" i="9" a="1"/>
  <c r="C32" i="9" s="1"/>
  <c r="M32" i="9" s="1"/>
  <c r="M31" i="9"/>
  <c r="N31" i="9" s="1"/>
  <c r="C33" i="9" a="1"/>
  <c r="C33" i="9" s="1"/>
  <c r="M33" i="9" s="1"/>
  <c r="N33" i="9" s="1"/>
  <c r="BM5" i="10" l="1" a="1"/>
  <c r="B15" i="35" a="1"/>
  <c r="B15" i="35" s="1"/>
  <c r="C16" i="34" a="1"/>
  <c r="C16" i="34" s="1"/>
  <c r="M39" i="9"/>
  <c r="C46" i="9" a="1"/>
  <c r="C46" i="9" s="1"/>
  <c r="M46" i="9" s="1"/>
  <c r="M40" i="9"/>
  <c r="N40" i="9" s="1"/>
  <c r="C47" i="9" a="1"/>
  <c r="C47" i="9" s="1"/>
  <c r="M47" i="9" s="1"/>
  <c r="BM5" i="10" l="1"/>
  <c r="BN4" i="10"/>
  <c r="N47" i="9"/>
  <c r="C15" i="9"/>
  <c r="C17" i="9" l="1"/>
  <c r="C16" i="9"/>
  <c r="R13" i="10" l="1"/>
  <c r="R12" i="10"/>
  <c r="C18" i="9"/>
  <c r="R4" i="10" l="1"/>
  <c r="R2" i="10" s="1"/>
  <c r="B24"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<sst xmlns="http://schemas.openxmlformats.org/spreadsheetml/2006/main" count="383" uniqueCount="302">
  <si>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</si>
  <si>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</si>
  <si>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</si>
  <si>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</si>
  <si>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</si>
  <si>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</si>
  <si>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</si>
  <si>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</si>
  <si>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</si>
  <si>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</si>
  <si>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</si>
  <si>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</si>
  <si>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</si>
  <si>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(Click the cells above for more info)</t>
  </si>
  <si>
    <t>Step 2: Stakeholder Profile</t>
  </si>
  <si>
    <t>Stakeholder Group</t>
  </si>
  <si>
    <t>Non-business Count</t>
  </si>
  <si>
    <t>Small Business Count</t>
  </si>
  <si>
    <t>Med/Large Business Count</t>
  </si>
  <si>
    <t>Total Business Count</t>
  </si>
  <si>
    <t>Total Stakeholder Count</t>
  </si>
  <si>
    <t>Non-business Growth Rate</t>
  </si>
  <si>
    <t>Small Business Growth Rate</t>
  </si>
  <si>
    <t>Med/Large Business Growth Rate</t>
  </si>
  <si>
    <t>Step 3: Activities</t>
  </si>
  <si>
    <t>Activity</t>
  </si>
  <si>
    <t>Administrative or Compliance</t>
  </si>
  <si>
    <t>In or Out</t>
  </si>
  <si>
    <t>Upfront or  Ongoing</t>
  </si>
  <si>
    <t>Start Year</t>
  </si>
  <si>
    <t>End Year</t>
  </si>
  <si>
    <t>Affected Stakeholder Group</t>
  </si>
  <si>
    <t>Affected Stakeholder Type</t>
  </si>
  <si>
    <t>Percent Affected</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</si>
  <si>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</si>
  <si>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</si>
  <si>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</si>
  <si>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</si>
  <si>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</si>
  <si>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</si>
  <si>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</si>
  <si>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</si>
  <si>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</si>
  <si>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Labour: Staff Level (Wage Without Overhead)</t>
  </si>
  <si>
    <t>Administrative</t>
  </si>
  <si>
    <t>One-for-one</t>
  </si>
  <si>
    <t>Business count, time period, units of measurement:</t>
  </si>
  <si>
    <t>Count of all businesses at the start of the analytical period:</t>
  </si>
  <si>
    <t>Time (years):</t>
  </si>
  <si>
    <t>Price year:</t>
  </si>
  <si>
    <t>Discount rate:</t>
  </si>
  <si>
    <t>Discount base year:</t>
  </si>
  <si>
    <t>Results:</t>
  </si>
  <si>
    <t>Net Present Value Administrative Impact, All Businesses:</t>
  </si>
  <si>
    <t>Net Present Value Administrative Impact Per Business:</t>
  </si>
  <si>
    <t>Annualized Administrative Impact, All Businesses:</t>
  </si>
  <si>
    <t>Annualized Administrative Impact Per Business:</t>
  </si>
  <si>
    <t>Note: negative values represent net costs, positive values represent net benefits</t>
  </si>
  <si>
    <t>Draft RIAS text (revise as needed)</t>
  </si>
  <si>
    <t>Annual breakdown:</t>
  </si>
  <si>
    <t>IN</t>
  </si>
  <si>
    <t>CBA Parameter</t>
  </si>
  <si>
    <t>Total</t>
  </si>
  <si>
    <t>Annualized</t>
  </si>
  <si>
    <t>N/A</t>
  </si>
  <si>
    <t>Undiscounted Impacts (2012 price year)</t>
  </si>
  <si>
    <t>Discounted Impacts (2012 price year, 7% discount rate, 2012 discount base year)</t>
  </si>
  <si>
    <t>OUT</t>
  </si>
  <si>
    <t>NET</t>
  </si>
  <si>
    <t>Small Business Lens</t>
  </si>
  <si>
    <t>Count of small businesses at the start of the analytical period:</t>
  </si>
  <si>
    <t>Order of magnitude:</t>
  </si>
  <si>
    <t>Single</t>
  </si>
  <si>
    <t>Decimals:</t>
  </si>
  <si>
    <t>Note: in the tables below, Benefits are the OUTs and Costs are the INs from the Activities tab.</t>
  </si>
  <si>
    <t>Annual Stakeholder Count</t>
  </si>
  <si>
    <t>Group</t>
  </si>
  <si>
    <t>Type</t>
  </si>
  <si>
    <t>Net impacts to all stakeholders throughout the analytical period</t>
  </si>
  <si>
    <t>Present value base year:</t>
  </si>
  <si>
    <t>Note: negative values represent net costs and positive values represent net benefits.</t>
  </si>
  <si>
    <t>Net Impacts by Activity</t>
  </si>
  <si>
    <t>Net Impacts by Stakeholder</t>
  </si>
  <si>
    <t>National Occupational Classification (NOC)</t>
  </si>
  <si>
    <t>Price year of data source</t>
  </si>
  <si>
    <t>Wage in price year of data source (without overhead)</t>
  </si>
  <si>
    <t>Wage in price year of analysis (without overhead)</t>
  </si>
  <si>
    <t>01 Canada average</t>
  </si>
  <si>
    <t>02 Management occupations</t>
  </si>
  <si>
    <t>03 Senior management occupations</t>
  </si>
  <si>
    <t>04 Specialized middle management occupations</t>
  </si>
  <si>
    <t>05 Middle management occupations in retail and wholesale trade and customer services</t>
  </si>
  <si>
    <t>06 Middle management occupations in trades, transportation, production and utilities</t>
  </si>
  <si>
    <t>07 Business, finance and administration occupations</t>
  </si>
  <si>
    <t>08 Professional occupations in business and finance</t>
  </si>
  <si>
    <t>09 Administrative and financial supervisors and administrative occupations</t>
  </si>
  <si>
    <t>10 Finance, insurance and related business administrative occupations</t>
  </si>
  <si>
    <t>11 Office support occupations</t>
  </si>
  <si>
    <t>12 Distribution, tracking and scheduling co-ordination occupations</t>
  </si>
  <si>
    <t>13 Natural and applied sciences and related occupations</t>
  </si>
  <si>
    <t>14 Professional occupations in natural and applied sciences</t>
  </si>
  <si>
    <t>15 Technical occupations related to natural and applied sciences</t>
  </si>
  <si>
    <t>16 Health occupations</t>
  </si>
  <si>
    <t>17 Professional occupations in nursing</t>
  </si>
  <si>
    <t>18 Professional occupations in health (except nursing)</t>
  </si>
  <si>
    <t>19 Technical occupations in health</t>
  </si>
  <si>
    <t>20 Assisting occupations in support of health services</t>
  </si>
  <si>
    <t>21 Occupations in education, law and social, community and government services</t>
  </si>
  <si>
    <t>22 Professional occupations in education services</t>
  </si>
  <si>
    <t>23 Professional occupations in law and social, community and government services</t>
  </si>
  <si>
    <t>24 Paraprofessional occupations in legal, social, community and education services</t>
  </si>
  <si>
    <t>25 Occupations in front-line public protection services</t>
  </si>
  <si>
    <t>26 Care providers and educational, legal and public protection support occupations</t>
  </si>
  <si>
    <t>27 Occupations in art, culture, recreation and sport</t>
  </si>
  <si>
    <t>28 Professional occupations in art and culture</t>
  </si>
  <si>
    <t>29 Technical occupations in art, culture, recreation and sport</t>
  </si>
  <si>
    <t>30 Sales and service occupations</t>
  </si>
  <si>
    <t>31 Retail sales supervisors and specialized sales occupations</t>
  </si>
  <si>
    <t>32 Service supervisors and specialized service occupations</t>
  </si>
  <si>
    <t>33 Sales representatives and salespersons - wholesale and retail trade</t>
  </si>
  <si>
    <t>34 Service representatives and other customer and personal services occupations</t>
  </si>
  <si>
    <t>35 Sales support occupations</t>
  </si>
  <si>
    <t>36 Service support and other service occupations, n.e.c.</t>
  </si>
  <si>
    <t>37 Trades, transport and equipment operators and related occupations</t>
  </si>
  <si>
    <t>38 Industrial, electrical and construction trades</t>
  </si>
  <si>
    <t>39 Maintenance and equipment operation trades</t>
  </si>
  <si>
    <t>40 Other installers, repairers and servicers and material handlers</t>
  </si>
  <si>
    <t>41 Transport and heavy equipment operation and related maintenance occupations</t>
  </si>
  <si>
    <t>42 Trades helpers, construction labourers and related occupations</t>
  </si>
  <si>
    <t>43 Natural resources, agriculture and related production occupations</t>
  </si>
  <si>
    <t>44 Supervisors and technical occupations in natural resources, agriculture and related production</t>
  </si>
  <si>
    <t>45 Workers in natural resources, agriculture and related production</t>
  </si>
  <si>
    <t>46 Harvesting, landscaping and natural resources labourers</t>
  </si>
  <si>
    <t>47 Occupations in manufacturing and utilities</t>
  </si>
  <si>
    <t>48 Processing, manufacturing and utilities supervisors and central control operators</t>
  </si>
  <si>
    <t>49 Processing and manufacturing machine operators and related production workers</t>
  </si>
  <si>
    <t>50 Assemblers in manufacturing</t>
  </si>
  <si>
    <t>51 Labourers in processing, manufacturing and utilities</t>
  </si>
  <si>
    <t>Statistics Canada. Table 18-10-0005-01  Consumer Price Index, annual average, not seasonally adjusted</t>
  </si>
  <si>
    <t>Year</t>
  </si>
  <si>
    <t>Index</t>
  </si>
  <si>
    <t>Activity Number</t>
  </si>
  <si>
    <t>Activity Description</t>
  </si>
  <si>
    <t>Administrative/ Compliance</t>
  </si>
  <si>
    <t>In/Out</t>
  </si>
  <si>
    <t>Period</t>
  </si>
  <si>
    <t>Frequency</t>
  </si>
  <si>
    <t>Affected Group</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</si>
  <si>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</si>
  <si>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</si>
  <si>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</si>
  <si>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</si>
  <si>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</si>
  <si>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</si>
  <si>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</si>
  <si>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</si>
  <si>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</si>
  <si>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</si>
  <si>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</si>
  <si>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</si>
  <si>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</si>
  <si>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</si>
  <si>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</si>
  <si>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</si>
  <si>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</si>
  <si>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</si>
  <si>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</si>
  <si>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</si>
  <si>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</si>
  <si>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This Group Starting Non-Business Count</t>
  </si>
  <si>
    <t>This Group Non-Business Growth Rate</t>
  </si>
  <si>
    <t>This Group Starting Small Business Count</t>
  </si>
  <si>
    <t>This Group Small Business Growth Rate</t>
  </si>
  <si>
    <t>This Group Starting Med/Large Business Count</t>
  </si>
  <si>
    <t>This Group  Med/Large Business Growth Rate</t>
  </si>
  <si>
    <t>repeat(Periods, ActivityNumber)</t>
  </si>
  <si>
    <t>IFERROR(INDEX(tbl_Activities[Activity], A2#), "")</t>
  </si>
  <si>
    <t>IFERROR(INDEX(tbl_Activities[Administrative or Compliance], A2#), "")</t>
  </si>
  <si>
    <t>IFERROR(INDEX(tbl_Activities[In or Out], A2#), "")</t>
  </si>
  <si>
    <t>IFERROR(
LET(
a, FILTER(Periods, Checkblank),
b, SEQUENCE(COUNTA(FILTER(Periods, Checkblank))),
c, TRANSPOSE(b),
d, --(b&gt;=c),
e, MMULT(d, a),
f, SUM(a),
g, SEQUENCE(f),
h, XMATCH(g-1, e,-1),
I, IFERROR(INDEX(e,h),0),
j, g - I,
j)-IF(INDEX(tbl_Activities[Upfront or  Ongoing], A2#)="Upfront", 1, 0),
"")</t>
  </si>
  <si>
    <t>IFERROR(INDEX(tbl_Activities[Affected Stakeholder Group], A2#), "")</t>
  </si>
  <si>
    <t>IFERROR(INDEX(tbl_Activities[Percent Affected], A2#), "")</t>
  </si>
  <si>
    <t>MAKEARRAY(OutputRows, 1, LAMBDA(r,c,
IFERROR(IF(INDEX(AB2#, r)="All Businesses", 0, IF(INDEX(AB2#, r)="Med/Large Businesses", 0, IF(INDEX(AB2#, r)="Small Businesses", 0,
INDEX(TAKE(DROP(I:I,MATCH($I$1,I:I,0)),XMATCH(,DROP(I:I,MATCH($I$1,I:I,0)))-1), r)*
IF(AND(INDEX(AC2#, r)=1, INDEX(H2#, r)="All Groups"), SUMPRODUCT(NonBusinessCounts, (1+NonBusinessGrowthRates)^INDEX(AD2#, r)),
IF(AND(INDEX(AC2#, r)=1, NOT(INDEX(H2#, r)="All Groups")), INDEX(AH2#, r)*(1+INDEX(AI2#, r))^INDEX(AD2#, r),
IF(AND(INDEX(AC2#, r)=2, INDEX(H2#, r)="All Groups"), SUMPRODUCT(NonBusinessCounts, (1+NonBusinessGrowthRates)^IF(NonBusinessGrowthRates&lt;0, INDEX(AD2#, r), INDEX(AE2#, r))),
IF(AND(INDEX(AC2#, r)=2, NOT(INDEX(H2#, r)="All Groups")), INDEX(AH2#, r)*(1+INDEX(AI2#, r))^IF(INDEX(AI2#, r)&lt;0, INDEX(AD2#, r), INDEX(AE2#, r)),
IF(AND(INDEX(AC2#, r)=3, INDEX(H2#, r)="All Groups"), SUMPRODUCT(NonBusinessCounts, (1+IF(NonBusinessGrowthRates&lt;0, 0, NonBusinessGrowthRates))^INDEX(AD2#, r)-(1+IF(NonBusinessGrowthRates&lt;0, 0, NonBusinessGrowthRates))^INDEX(AE2#, r)),
IF(AND(INDEX(AC2#, r)=3, NOT(INDEX(H2#, r)="All Groups")), IF(INDEX(AI2#, r)&lt;0, 0, INDEX(AH2#, r)*((1+INDEX(AI2#, r))^INDEX(AD2#, r)-(1+INDEX(AI2#, r))^INDEX(AE2#, r))),
IF(AND(INDEX(AC2#, r)=4, INDEX(H2#, r)="All Groups"), IF(INDEX(F2#, r)=0, SUMPRODUCT(NonBusinessCounts, (1+NonBusinessGrowthRates)^INDEX(AD2#, r)), LET(g, (1+IF(NonBusinessGrowthRates&lt;0, 0, NonBusinessGrowthRates)), SUMPRODUCT(NonBusinessCounts, g^INDEX(AD2#, r)-g^(INDEX(AD2#, r-1))))),
IF(AND(INDEX(AC2#, r)=4, NOT(INDEX(H2#, r)="All Groups")), IF(INDEX(F2#, r)=0, INDEX(AH2#, r)*(1+INDEX(AI2#, r))^INDEX(AD2#, r), IF(INDEX(AI2#, r)&lt;0, 0, INDEX(AH2#, r)*((1+INDEX(AI2#, r))^INDEX(AD2#, r)-(1+INDEX(AI2#, r))^INDEX(AD2#, r-1)))),
IF(AND(INDEX(AC2#, r)=5, INDEX(H2#, r)="All Groups"), IF(INDEX(F2#, r)&gt;0, 0, SUMPRODUCT(NonBusinessCounts, (1+NonBusinessGrowthRates)^INDEX(AD2#, r))),
IF(AND(INDEX(AC2#, r)=5, NOT(INDEX(H2#, r)="All Groups")), IF(INDEX(F2#, r)&gt;0, 0, INDEX(AH2#, r)*(1+INDEX(AI2#, r))^INDEX(AD2#, r)),
IF(AND(INDEX(AC2#, r)=6, INDEX(H2#, r)="All Groups"), IF(INDEX(F2#, r)=0, 0, LET(g, (1+IF(NonBusinessGrowthRates&lt;0, 0, NonBusinessGrowthRates)), SUMPRODUCT(NonBusinessCounts, g^INDEX(AD2#, r)-g^(INDEX(AD2#, r-1))))),
IF(AND(INDEX(AC2#, r)=6, NOT(INDEX(H2#, r)="All Groups")), IF(INDEX(F2#, r)=0, 0, IF(INDEX(AI2#, r)&lt;0, 0, INDEX(AH2#, r)*((1+INDEX(AI2#, r))^INDEX(AD2#, r)-(1+INDEX(AI2#, r))^INDEX(AD2#, r-1)))),
0))))))))))))))), 0)))</t>
  </si>
  <si>
    <t>MAKEARRAY(OutputRows, 1, LAMBDA(r,c,
IFERROR(IF(INDEX(AB2#, r)="Med/Large Businesses", 0, IF(INDEX(AB2#, r)="All Non-Businesses", 0,
INDEX(TAKE(DROP(I:I,MATCH($I$1,I:I,0)),XMATCH(,DROP(I:I,MATCH($I$1,I:I,0)))-1), r)*
IF(AND(INDEX(AC2#, r)=1, INDEX(H2#, r)="All Groups"), SUMPRODUCT(SmallBusinessCounts, (1+SmallBusinessGrowthRates)^INDEX(AD2#, r)),
IF(AND(INDEX(AC2#, r)=1, NOT(INDEX(H2#, r)="All Groups")), INDEX(AJ2#, r)*(1+INDEX(AK2#, r))^INDEX(AD2#, r),
IF(AND(INDEX(AC2#, r)=2, INDEX(H2#, r)="All Groups"), SUMPRODUCT(SmallBusinessCounts, (1+SmallBusinessGrowthRates)^IF(SmallBusinessGrowthRates&lt;0, INDEX(AD2#, r), INDEX(AE2#, r))),
IF(AND(INDEX(AC2#, r)=2, NOT(INDEX(H2#, r)="All Groups")), INDEX(AJ2#, r)*(1+INDEX(AK2#, r))^IF(INDEX(AK2#, r)&lt;0, INDEX(AD2#, r), INDEX(AE2#, r)),
IF(AND(INDEX(AC2#, r)=3, INDEX(H2#, r)="All Groups"), SUMPRODUCT(SmallBusinessCounts, (1+IF(SmallBusinessGrowthRates&lt;0, 0, SmallBusinessGrowthRates))^INDEX(AD2#, r)-(1+IF(SmallBusinessGrowthRates&lt;0, 0, SmallBusinessGrowthRates))^INDEX(AE2#, r)),
IF(AND(INDEX(AC2#, r)=3, NOT(INDEX(H2#, r)="All Groups")), IF(INDEX(AK2#, r)&lt;0, 0, INDEX(AJ2#, r)*((1+INDEX(AK2#, r))^INDEX(AD2#, r)-(1+INDEX(AK2#, r))^INDEX(AE2#, r))),
IF(AND(INDEX(AC2#, r)=4, INDEX(H2#, r)="All Groups"), IF(INDEX(F2#, r)=0, SUMPRODUCT(SmallBusinessCounts, (1+SmallBusinessGrowthRates)^INDEX(AD2#, r)), LET(g, (1+IF(SmallBusinessGrowthRates&lt;0, 0, SmallBusinessGrowthRates)), SUMPRODUCT(SmallBusinessCounts, g^INDEX(AD2#, r)-g^(INDEX(AD2#, r-1))))),
IF(AND(INDEX(AC2#, r)=4, NOT(INDEX(H2#, r)="All Groups")), IF(INDEX(F2#, r)=0, INDEX(AJ2#, r)*(1+INDEX(AK2#, r))^INDEX(AD2#, r), IF(INDEX(AK2#, r)&lt;0, 0, INDEX(AJ2#, r)*((1+INDEX(AK2#, r))^INDEX(AD2#, r)-(1+INDEX(AK2#, r))^INDEX(AD2#, r-1)))),
IF(AND(INDEX(AC2#, r)=5, INDEX(H2#, r)="All Groups"), IF(INDEX(F2#, r)&gt;0, 0, SUMPRODUCT(SmallBusinessCounts, (1+SmallBusinessGrowthRates)^INDEX(AD2#, r))),
IF(AND(INDEX(AC2#, r)=5, NOT(INDEX(H2#, r)="All Groups")), IF(INDEX(F2#, r)&gt;0, 0, INDEX(AJ2#, r)*(1+INDEX(AK2#, r))^INDEX(AD2#, r)),
IF(AND(INDEX(AC2#, r)=6, INDEX(H2#, r)="All Groups"), IF(INDEX(F2#, r)=0, 0, LET(g, (1+IF(SmallBusinessGrowthRates&lt;0, 0, SmallBusinessGrowthRates)), SUMPRODUCT(SmallBusinessCounts, g^INDEX(AD2#, r)-g^(INDEX(AD2#, r-1))))),
IF(AND(INDEX(AC2#, r)=6, NOT(INDEX(H2#, r)="All Groups")), IF(INDEX(F2#, r)=0, 0, IF(INDEX(AK2#, r)&lt;0, 0, INDEX(AJ2#, r)*((1+INDEX(AK2#, r))^INDEX(AD2#, r)-(1+INDEX(AK2#, r))^INDEX(AD2#, r-1)))),
0)))))))))))))), 0)))</t>
  </si>
  <si>
    <t>MAKEARRAY(OutputRows, 1, LAMBDA(r,c,
IFERROR(IF(INDEX(AB2#, r)="Small Businesses", 0, IF(INDEX(AB2#, r)="All Non-Businesses", 0,
INDEX(TAKE(DROP(I:I,MATCH($I$1,I:I,0)),XMATCH(,DROP(I:I,MATCH($I$1,I:I,0)))-1), r)*
IF(AND(INDEX(AC2#, r)=1, INDEX(H2#, r)="All Groups"), SUMPRODUCT(MedLargeBusinessCounts, (1+MedLargeBusinessGrowthRates)^INDEX(AD2#, r)),
IF(AND(INDEX(AC2#, r)=1, NOT(INDEX(H2#, r)="All Groups")), INDEX(AL2#, r)*(1+INDEX(AM2#, r))^INDEX(AD2#, r),
IF(AND(INDEX(AC2#, r)=2, INDEX(H2#, r)="All Groups"), SUMPRODUCT(MedLargeBusinessCounts, (1+MedLargeBusinessGrowthRates)^IF(MedLargeBusinessGrowthRates&lt;0, INDEX(AD2#, r), INDEX(AE2#, r))),
IF(AND(INDEX(AC2#, r)=2, NOT(INDEX(H2#, r)="All Groups")), INDEX(AL2#, r)*(1+INDEX(AM2#, r))^IF(INDEX(AM2#, r)&lt;0, INDEX(AD2#, r), INDEX(AE2#, r)),
IF(AND(INDEX(AC2#, r)=3, INDEX(H2#, r)="All Groups"), SUMPRODUCT(MedLargeBusinessCounts, (1+IF(MedLargeBusinessGrowthRates&lt;0, 0, MedLargeBusinessGrowthRates))^INDEX(AD2#, r)-(1+IF(MedLargeBusinessGrowthRates&lt;0, 0, MedLargeBusinessGrowthRates))^INDEX(AE2#, r)),
IF(AND(INDEX(AC2#, r)=3, NOT(INDEX(H2#, r)="All Groups")), IF(INDEX(AM2#, r)&lt;0, 0, INDEX(AL2#, r)*((1+INDEX(AM2#, r))^INDEX(AD2#, r)-(1+INDEX(AM2#, r))^INDEX(AE2#, r))),
IF(AND(INDEX(AC2#, r)=4, INDEX(H2#, r)="All Groups"), IF(INDEX(F2#, r)=0, SUMPRODUCT(MedLargeBusinessCounts, (1+MedLargeBusinessGrowthRates)^INDEX(AD2#, r)), LET(g, (1+IF(MedLargeBusinessGrowthRates&lt;0, 0, MedLargeBusinessGrowthRates)), SUMPRODUCT(MedLargeBusinessCounts, g^INDEX(AD2#, r)-g^(INDEX(AD2#, r-1))))),
IF(AND(INDEX(AC2#, r)=4, NOT(INDEX(H2#, r)="All Groups")), IF(INDEX(F2#, r)=0, INDEX(AL2#, r)*(1+INDEX(AM2#, r))^INDEX(AD2#, r), IF(INDEX(AM2#, r)&lt;0, 0, INDEX(AL2#, r)*((1+INDEX(AM2#, r))^INDEX(AD2#, r)-(1+INDEX(AM2#, r))^INDEX(AD2#, r-1)))),
IF(AND(INDEX(AC2#, r)=5, INDEX(H2#, r)="All Groups"), IF(INDEX(F2#, r)&gt;0, 0, SUMPRODUCT(MedLargeBusinessCounts, (1+MedLargeBusinessGrowthRates)^INDEX(AD2#, r))),
IF(AND(INDEX(AC2#, r)=5, NOT(INDEX(H2#, r)="All Groups")), IF(INDEX(F2#, r)&gt;0, 0, INDEX(AL2#, r)*(1+INDEX(AM2#, r))^INDEX(AD2#, r)),
IF(AND(INDEX(AC2#, r)=6, INDEX(H2#, r)="All Groups"), IF(INDEX(F2#, r)=0, 0, LET(g, (1+IF(MedLargeBusinessGrowthRates&lt;0, 0, MedLargeBusinessGrowthRates)), SUMPRODUCT(MedLargeBusinessCounts, g^INDEX(AD2#, r)-g^(INDEX(AD2#, r-1))))),
IF(AND(INDEX(AC2#, r)=6, NOT(INDEX(H2#, r)="All Groups")), IF(INDEX(F2#, r)=0, 0, IF(INDEX(AM2#, r)&lt;0, 0, INDEX(AL2#, r)*((1+INDEX(AM2#, r))^INDEX(AD2#, r)-(1+INDEX(AM2#, r))^INDEX(AD2#, r-1)))),
0)))))))))))))), 0)))</t>
  </si>
  <si>
    <t>LET(
     AffectedNonBusinesses, TAKE(DROP(J:J,MATCH(J$1,J:J,0)),XMATCH(,DROP(J:J,MATCH(J$1,J:J,0)))-1),
IFERROR(M2#*AffectedNonBusinesses, ""))</t>
  </si>
  <si>
    <t>LET(
     AffectedSmallBusinesses, TAKE(DROP(K:K,MATCH(K$1,K:K,0)),XMATCH(,DROP(K:K,MATCH(K$1,K:K,0)))-1),
IFERROR(M2#*AffectedSmallBusinesses, ""))</t>
  </si>
  <si>
    <t>LET(
     AffectedMedLargeBusinesses, TAKE(DROP(L:L,MATCH(L$1,L:L,0)),XMATCH(,DROP(L:L,MATCH(L$1,L:L,0)))-1),
IFERROR(M2#*AffectedMedLargeBusinesses, ""))</t>
  </si>
  <si>
    <t>IFERROR($O$2#+$P$2#,0)</t>
  </si>
  <si>
    <t>IFERROR($Q$2#+$N$2#, 0)</t>
  </si>
  <si>
    <t>IFERROR($N$2#/(1+Discount)^$AF$2#,0)</t>
  </si>
  <si>
    <t>IFERROR($O$2#/(1+Discount)^$AF$2#,0)</t>
  </si>
  <si>
    <t>IFERROR($T$2#+$U$2#, 0)</t>
  </si>
  <si>
    <t>IFERROR($V$2#+$S$2#, 0)</t>
  </si>
  <si>
    <t>IFERROR(--($C$2#="Administrative")*($O$2#+$P$2#)/(1.07)^$AF$2#, 0)</t>
  </si>
  <si>
    <t>Name</t>
  </si>
  <si>
    <t>Value</t>
  </si>
  <si>
    <t>Explanation</t>
  </si>
  <si>
    <t>AF_7_10</t>
  </si>
  <si>
    <t>Annualization factor locked at the parameters needed for one-for-one section</t>
  </si>
  <si>
    <t>Individual Break Down</t>
  </si>
  <si>
    <t>AF</t>
  </si>
  <si>
    <t>Annualization factor that adjusts with discount rate and analytical period length</t>
  </si>
  <si>
    <t>Activity Name</t>
  </si>
  <si>
    <t>IN / OUT</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</si>
  <si>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</si>
  <si>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</si>
  <si>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</si>
  <si>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</si>
  <si>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</si>
  <si>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</si>
  <si>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</si>
  <si>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</si>
  <si>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</si>
  <si>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</si>
  <si>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</si>
  <si>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</si>
  <si>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</si>
  <si>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</si>
  <si>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</si>
  <si>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</si>
  <si>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</si>
  <si>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</si>
  <si>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</si>
  <si>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</si>
  <si>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</si>
  <si>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</si>
  <si>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</si>
  <si>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</si>
  <si>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</si>
  <si>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</si>
  <si>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</si>
  <si>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</si>
  <si>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</si>
  <si>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</si>
  <si>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</si>
  <si>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</si>
  <si>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</si>
  <si>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</si>
  <si>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The one-for-one rule does not apply as the regulation is made by an independent regulatory authority and is outside of the scope of the rule.</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</si>
  <si>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</si>
  <si>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</si>
  <si>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</si>
  <si>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</si>
  <si>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</si>
  <si>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</si>
  <si>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</si>
  <si>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</si>
  <si>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</si>
  <si>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</si>
  <si>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</si>
  <si>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</si>
  <si>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</si>
  <si>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</si>
  <si>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</si>
  <si>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</si>
  <si>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</si>
  <si>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</si>
  <si>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</si>
  <si>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</si>
  <si>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</si>
  <si>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</si>
  <si>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</si>
  <si>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</si>
  <si>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</si>
  <si>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</si>
  <si>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</si>
  <si>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</si>
  <si>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</si>
  <si>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</si>
  <si>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</si>
  <si>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</si>
  <si>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</si>
  <si>
    <t>Statistics Canada.Table  14-10-0340-01   Employee wages by occupation, annual, 1997 to 2022</t>
  </si>
  <si>
    <t>Stakeholder 1, Undiscounted Impacts</t>
  </si>
  <si>
    <t>Stakeholder 1, Discounted Impacts</t>
  </si>
  <si>
    <t>IFERROR(
IF(AA2#="Start of Analytical Period", YearOfRegistration,
IF(AA2#="End of Analytical Period", YearOfRegistration+Timeperiod-1,
AA2#))
+ROUNDUP(IF(F2#/G2#-1&lt;0, 0, F2#/G2#-1), 0), "")</t>
  </si>
  <si>
    <t>IFERROR(IF(INDEX(tbl_Activities[Upfront or  Ongoing], A2#)="Ongoing", INDEX(tbl_Activities[Annual Frequency], A2#), 1), "")</t>
  </si>
  <si>
    <t>IFERROR(
LET(
     InternalExternal, INDEX(tbl_Activities[Labour: Internal or External Overhead], A2#),
     CapitalLabour, INDEX(tbl_Activities[Capital or Labour], A2#),
IF(D2#="Out", -1, 1)*
IF(CapitalLabour="Capital", INDEX(tbl_Activities[Capital: Number of Units], A2#)*INDEX(tbl_Activities[Capital: Unit Price], A2#)
     *INDEX(tbl_CPI[Index], MATCH(PriceYear, tbl_CPI[Year], 0))/INDEX(tbl_CPI[Index], MATCH(INDEX(tbl_Activities[Capital: Price Year of Unit Price], A2#), tbl_CPI[Year], 0)),
IF(CapitalLabour="Labour", INDEX(tbl_Wages[Wage in price year of analysis (without overhead)], MATCH(INDEX(TEXTBEFORE(tbl_Activities[Labour: Staff Level (Wage Without Overhead)], " ($"), A2#), tbl_Wages[National Occupational Classification (NOC)], 0))
          *(1+IF(InternalExternal="Internal (25%)", 0.25, IF(InternalExternal="External (50%)", 0.5, 0)))
          *(INDEX(tbl_Activities[Labour: Time Spent (hours)], A2#)),
""))),
"")</t>
  </si>
  <si>
    <t>IFERROR(P2#/(1+Discount)^$AF$2#,0)</t>
  </si>
  <si>
    <t>INDEX(tbl_Activities[Start Year], $A$2#)</t>
  </si>
  <si>
    <t>INDEX(tbl_Activities[Affected Stakeholder Type], A2#)</t>
  </si>
  <si>
    <t>INDEX(ActivityType, A2#)</t>
  </si>
  <si>
    <t>IFERROR(
IF(AA2#="Start of Analytical Period", F2#/G2#,
IF(AA2#="End of Analytical Period",Timeperiod-1+F2#/G2#,
AA2#-YearOfRegistration+F2#/G2#)),
"")</t>
  </si>
  <si>
    <t>IFERROR(
IF(AA2#="Start of Analytical Period", 0,
IF(AA2#="End of Analytical Period", Timeperiod-1,
AA2#-YearOfRegistration)),
"")</t>
  </si>
  <si>
    <t>IFERROR(
IF(AA2#="Start of Analytical Period", (YearOfRegistration-PVBaseYear)+$F$2#/$G$2#,
IF(AA2#="End of Analytical Period", (YearOfRegistration-PVBaseYear)+Timeperiod-1+$F$2#/$G$2#,
AA2#-PVBaseYear+$F$2#/$G$2#)),
"")</t>
  </si>
  <si>
    <t>IFERROR(MATCH(INDEX(tbl_Activities[Affected Stakeholder Group], 'Full Output'!$A$2#), FILTER(tbl_Stakeholders[Stakeholder Group], tbl_Stakeholders[Stakeholder Group]&lt;&gt;""), 0), "")</t>
  </si>
  <si>
    <t>IFERROR(INDEX(NonBusinessCounts, AG2#), "")</t>
  </si>
  <si>
    <t>IFERROR(INDEX(NonBusinessGrowthRates, AG2#), "")</t>
  </si>
  <si>
    <t>IFERROR(INDEX(SmallBusinessCounts, AG2#), "")</t>
  </si>
  <si>
    <t>IFERROR(INDEX(SmallBusinessGrowthRates, AG2#), "")</t>
  </si>
  <si>
    <t>IFERROR(INDEX(MedLargeBusinessCounts, AG2#), "")</t>
  </si>
  <si>
    <t>IFERROR(INDEX(MedLargeBusinessGrowthRates, AG2#), "")</t>
  </si>
  <si>
    <t>IFERROR(LET(
nonbusinesscosts_undiscounted, MAKEARRAY(OutputRows,StakeholderCols,LAMBDA(r,c, LET(AllGroups, INDEX(H2#, r)="All Groups", ThisGroup, IF(c=INDEX(AG2#, r), INDEX(J2#, r), 0),
IF(INDEX(AB2#, r)="Med/Large Businesses", 0, IF(INDEX(AB2#, r)="All Businesses", 0, IF(INDEX(AB2#, r)=" Small Businesses", 0,
INDEX(M2#, r)*
IF(INDEX(AC2#,r)=1, IF(AllGroups, INDEX(I2#, r)*INDEX(NonBusinessCounts,c)*(1+INDEX(NonBusinessGrowthRates, c))^INDEX(AD2#, r), ThisGroup),
IF(INDEX(AC2#,r)=2, IF(AllGroups, INDEX(I2#, r)*INDEX(NonBusinessCounts, c)*(1+INDEX(NonBusinessGrowthRates, c))^IF(INDEX(NonBusinessGrowthRates, c)&lt;0, INDEX(AD2#, r), INDEX(AE2#, r)), ThisGroup),
IF(INDEX(AC2#,r)=3, IF(AllGroups, INDEX(I2#, r)*INDEX(NonBusinessCounts, c)*((1+MAX(INDEX(NonBusinessGrowthRates, c), 0))^INDEX(AD2#, r)-(1+MAX(INDEX(NonBusinessGrowthRates, c), 0))^INDEX(AE2#, r)), ThisGroup),
IF(INDEX(AC2#,r)=4, IF(AllGroups, INDEX(I2#, r)*IF(INDEX(F2#,r)=0, INDEX(NonBusinessCounts, c)*(1+INDEX(NonBusinessGrowthRates, c))^INDEX(AD2#, r), INDEX(NonBusinessCounts, c)*(((1+MAX(INDEX(NonBusinessGrowthRates, c), 0))^INDEX(AD2#, r))-(1+MAX(INDEX(NonBusinessGrowthRates, c), 0))^INDEX(AD2#, r-1))), ThisGroup),
IF(INDEX(AC2#,r)=5, IF(AllGroups, INDEX(I2#, r)*IF(INDEX(F2#,r)=0, INDEX(NonBusinessCounts, c)*(1+INDEX(NonBusinessGrowthRates, c))^INDEX(AD2#, r), 0), ThisGroup),
IF(INDEX(AC2#,r)=6, IF(AllGroups, INDEX(I2#, r)*IF(INDEX(F2#, r)=0, 0, INDEX(NonBusinessCounts, c)*(((1+MAX(INDEX(NonBusinessGrowthRates, c), 0))^INDEX(AD2#, r))-(1+MAX(INDEX(NonBusinessGrowthRates, c), 0))^INDEX(AD2#, r-1))), AP2),
0)))))))))))),
smallbusinesscosts_undiscounted, MAKEARRAY(OutputRows,StakeholderCols,LAMBDA(r,c, LET(AllGroups, INDEX(H2#, r)="All Groups", ThisGroup, IF(c=INDEX(AG2#, r), INDEX(K2#, r), 0),
IF(INDEX(AB2#, r)="Med/Large Businesses", 0, IF(INDEX(AB2#, r)="All Non-Businesses", 0,
INDEX(M2#, r)*
IF(INDEX(AC2#,r)=1, IF(AllGroups, INDEX(I2#, r)*INDEX(SmallBusinessCounts,c)*(1+INDEX(SmallBusinessGrowthRates, c))^INDEX(AD2#, r), ThisGroup),
IF(INDEX(AC2#,r)=2, IF(AllGroups, INDEX(I2#, r)*INDEX(SmallBusinessCounts, c)*(1+INDEX(SmallBusinessGrowthRates, c))^IF(INDEX(SmallBusinessGrowthRates, c)&lt;0, INDEX(AD2#, r), INDEX(AE2#, r)), ThisGroup),
IF(INDEX(AC2#,r)=3, IF(AllGroups, INDEX(I2#, r)*INDEX(SmallBusinessCounts, c)*((1+MAX(INDEX(SmallBusinessGrowthRates, c), 0))^INDEX(AD2#, r)-(1+MAX(INDEX(SmallBusinessGrowthRates, c), 0))^INDEX(AE2#, r)), ThisGroup),
IF(INDEX(AC2#,r)=4, IF(AllGroups, INDEX(I2#, r)*IF(INDEX(F2#,r)=0, INDEX(SmallBusinessCounts, c)*(1+INDEX(SmallBusinessGrowthRates, c))^INDEX(AD2#, r), INDEX(SmallBusinessCounts, c)*(((1+MAX(INDEX(SmallBusinessGrowthRates, c), 0))^INDEX(AD2#, r))-(1+MAX(INDEX(SmallBusinessGrowthRates, c), 0))^INDEX(AD2#, r-1))), ThisGroup),
IF(INDEX(AC2#,r)=5, IF(AllGroups, INDEX(I2#, r)*IF(INDEX(F2#,r)=0, INDEX(SmallBusinessCounts, c)*(1+INDEX(SmallBusinessGrowthRates, c))^INDEX(AD2#, r), 0), ThisGroup),
IF(INDEX(AC2#,r)=6, IF(AllGroups, INDEX(I2#, r)*IF(INDEX(F2#, r)=0, 0, INDEX(SmallBusinessCounts, c)*(((1+MAX(INDEX(SmallBusinessGrowthRates, c), 0))^INDEX(AD2#, r))-(1+MAX(INDEX(SmallBusinessGrowthRates, c), 0))^INDEX(AD2#, r-1))), ThisGroup),
0))))))))))),
medlargebusinesscosts_undiscounted, MAKEARRAY(OutputRows,StakeholderCols,LAMBDA(r,c, LET(AllGroups, INDEX(H2#, r)="All Groups", ThisGroup, IF(c=INDEX(AG2#, r), INDEX(L2#, r), 0),
IF(INDEX(AB2#, r)="Small Businesses", 0, IF(INDEX(AB2#, r)="All Non-Businesses", 0,
INDEX(M2#, r)*
IF(INDEX(AC2#,r)=1, IF(AllGroups, INDEX(I2#, r)*INDEX(MedLargeBusinessCounts,c)*(1+INDEX(MedLargeBusinessGrowthRates, c))^INDEX(AD2#, r), ThisGroup),
IF(INDEX(AC2#,r)=2, IF(AllGroups, INDEX(I2#, r)*INDEX(MedLargeBusinessCounts, c)*(1+INDEX(MedLargeBusinessGrowthRates, c))^IF(INDEX(MedLargeBusinessGrowthRates, c)&lt;0, INDEX(AD2#, r), INDEX(AE2#, r)), ThisGroup),
IF(INDEX(AC2#,r)=3, IF(AllGroups, INDEX(I2#, r)*INDEX(MedLargeBusinessCounts, c)*((1+MAX(INDEX(MedLargeBusinessGrowthRates, c), 0))^INDEX(AD2#, r)-(1+MAX(INDEX(MedLargeBusinessGrowthRates, c), 0))^INDEX(AE2#, r)), ThisGroup),
IF(INDEX(AC2#,r)=4, IF(AllGroups, INDEX(I2#, r)*IF(INDEX(F2#,r)=0, INDEX(MedLargeBusinessCounts, c)*(1+INDEX(MedLargeBusinessGrowthRates, c))^INDEX(AD2#, r), INDEX(MedLargeBusinessCounts, c)*(((1+MAX(INDEX(MedLargeBusinessGrowthRates, c), 0))^INDEX(AD2#, r))-(1+MAX(INDEX(MedLargeBusinessGrowthRates, c), 0))^INDEX(AD2#, r-1))), ThisGroup),
IF(INDEX(AC2#,r)=5, IF(AllGroups, INDEX(I2#, r)*IF(INDEX(F2#,r)=0, INDEX(MedLargeBusinessCounts, c)*(1+INDEX(MedLargeBusinessGrowthRates, c))^INDEX(AD2#, r), 0), ThisGroup),
IF(INDEX(AC2#,r)=6, IF(AllGroups, INDEX(I2#, r)*IF(INDEX(F2#, r)=0, 0, INDEX(MedLargeBusinessCounts, c)*(((1+MAX(INDEX(MedLargeBusinessGrowthRates, c), 0))^INDEX(AD2#, r))-(1+MAX(INDEX(MedLargeBusinessGrowthRates, c), 0))^INDEX(AD2#, r-1))), ThisGroup),
0))))))))))),
x, nonbusinesscosts_undiscounted+smallbusinesscosts_undiscounted+medlargebusinesscosts_undiscounted,
HSTACK(x, x/(1+Discount)^AF2#)), "")</t>
  </si>
  <si>
    <t>Wage drop-down List</t>
  </si>
  <si>
    <t>Decimals for Wage Drop-down List</t>
  </si>
  <si>
    <t>Stakeholder Drop-down List</t>
  </si>
  <si>
    <t>Discount Rate Drop-down List</t>
  </si>
  <si>
    <t>Analytical Timeline Drop-down List</t>
  </si>
  <si>
    <t>YoR &amp; PV Base Year Drop-down List</t>
  </si>
  <si>
    <t>Price Year Drop-down List</t>
  </si>
  <si>
    <t>Activity Start/End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</si>
</sst>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quot;$&quot;#,##0"/>
    <numFmt numFmtId="166" formatCode="&quot;$&quot;#,##0.00"/>
    <numFmt numFmtId="167" formatCode="_-* #,##0.0000000000000_-;\-* #,##0.0000000000000_-;_-* &quot;-&quot;??_-;_-@_-"/>
    <numFmt numFmtId="168" formatCode="0.0"/>
  </numFmts>
  <fonts count="37" x14ac:knownFonts="1">
    <font>
      <sz val="11"/>
      <color theme="1"/>
      <name val="Calibri"/>
      <family val="2"/>
      <scheme val="minor"/>
    </font>
    <font>
      <sz val="11"/>
      <color theme="1"/>
      <name val="Calibri"/>
      <family val="2"/>
      <scheme val="minor"/>
    </font>
    <font>
      <b/>
      <u/>
      <sz val="11"/>
      <color theme="1"/>
      <name val="Calibri"/>
      <family val="2"/>
      <scheme val="minor"/>
    </font>
    <font>
      <sz val="8"/>
      <name val="Calibri"/>
      <family val="2"/>
      <scheme val="minor"/>
    </font>
    <font>
      <sz val="10"/>
      <name val="Arial"/>
      <family val="2"/>
    </font>
    <font>
      <b/>
      <sz val="11"/>
      <color rgb="FFFFFFFF"/>
      <name val="Calibri"/>
      <family val="2"/>
      <scheme val="minor"/>
    </font>
    <font>
      <b/>
      <sz val="11"/>
      <color rgb="FFCCDC00"/>
      <name val="Arial"/>
      <family val="2"/>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i/>
      <sz val="11"/>
      <color theme="1"/>
      <name val="Calibri"/>
      <family val="2"/>
      <scheme val="minor"/>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u/>
      <sz val="9"/>
      <color theme="1"/>
      <name val="Arial"/>
      <family val="2"/>
    </font>
    <font>
      <b/>
      <u/>
      <sz val="10"/>
      <color theme="1"/>
      <name val="Arial"/>
      <family val="2"/>
    </font>
    <font>
      <b/>
      <sz val="10"/>
      <color rgb="FFCCDC00"/>
      <name val="Arial"/>
      <family val="2"/>
    </font>
    <font>
      <b/>
      <u/>
      <sz val="9"/>
      <color theme="10"/>
      <name val="Arial"/>
      <family val="2"/>
    </font>
    <font>
      <sz val="11"/>
      <color theme="0"/>
      <name val="Calibri"/>
      <family val="2"/>
      <scheme val="minor"/>
    </font>
    <font>
      <i/>
      <sz val="10"/>
      <color theme="1"/>
      <name val="Arial"/>
      <family val="2"/>
    </font>
    <font>
      <sz val="9"/>
      <color theme="0" tint="-0.249977111117893"/>
      <name val="Arial"/>
      <family val="2"/>
    </font>
    <font>
      <b/>
      <sz val="18"/>
      <color rgb="FFFF0000"/>
      <name val="Arial"/>
      <family val="2"/>
    </font>
    <font>
      <b/>
      <sz val="11"/>
      <color theme="1"/>
      <name val="Calibri"/>
      <family val="2"/>
      <scheme val="minor"/>
    </font>
    <font>
      <sz val="11"/>
      <color rgb="FF000000"/>
      <name val="Calibri"/>
      <family val="2"/>
    </font>
    <font>
      <b/>
      <u/>
      <sz val="11"/>
      <color theme="10"/>
      <name val="Arial"/>
      <family val="2"/>
    </font>
  </fonts>
  <fills count="12">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4" fillId="0" borderId="0"/>
    <xf numFmtId="0" fontId="10" fillId="0" borderId="0" applyNumberFormat="0" applyFill="0" applyBorder="0" applyAlignment="0" applyProtection="0"/>
  </cellStyleXfs>
  <cellXfs count="183">
    <xf numFmtId="0" fontId="0" fillId="0" borderId="0" xfId="0"/>
    <xf numFmtId="0" fontId="2" fillId="0" borderId="0" xfId="0" applyFont="1"/>
    <xf numFmtId="0" fontId="0" fillId="0" borderId="1" xfId="0" applyBorder="1"/>
    <xf numFmtId="166" fontId="0" fillId="0" borderId="0" xfId="0" applyNumberFormat="1"/>
    <xf numFmtId="0" fontId="5" fillId="3" borderId="0" xfId="0" applyFont="1" applyFill="1" applyAlignment="1">
      <alignment vertical="center" wrapText="1"/>
    </xf>
    <xf numFmtId="166" fontId="0" fillId="0" borderId="0" xfId="0" applyNumberFormat="1" applyAlignment="1">
      <alignment horizontal="right" vertical="center"/>
    </xf>
    <xf numFmtId="0" fontId="9" fillId="3" borderId="0" xfId="0" applyFont="1" applyFill="1" applyAlignment="1">
      <alignment vertical="center" wrapText="1"/>
    </xf>
    <xf numFmtId="2" fontId="0" fillId="0" borderId="0" xfId="0" applyNumberFormat="1"/>
    <xf numFmtId="0" fontId="0" fillId="0" borderId="0" xfId="0" applyAlignment="1">
      <alignment wrapText="1"/>
    </xf>
    <xf numFmtId="0" fontId="14" fillId="0" borderId="1" xfId="0" applyFont="1" applyBorder="1" applyAlignment="1">
      <alignment horizontal="right"/>
    </xf>
    <xf numFmtId="0" fontId="14" fillId="0" borderId="1" xfId="0" applyFont="1" applyBorder="1"/>
    <xf numFmtId="165" fontId="13" fillId="0" borderId="1" xfId="0" applyNumberFormat="1" applyFont="1" applyBorder="1" applyAlignment="1">
      <alignment horizontal="right" vertical="center"/>
    </xf>
    <xf numFmtId="0" fontId="7" fillId="0" borderId="0" xfId="0" applyFont="1" applyAlignment="1">
      <alignment vertical="center"/>
    </xf>
    <xf numFmtId="0" fontId="13" fillId="0" borderId="0" xfId="0" applyFont="1" applyAlignment="1">
      <alignment horizontal="right" vertical="center"/>
    </xf>
    <xf numFmtId="0" fontId="0" fillId="6" borderId="0" xfId="0" applyFill="1"/>
    <xf numFmtId="0" fontId="8" fillId="0" borderId="1" xfId="0" applyFont="1" applyBorder="1" applyAlignment="1">
      <alignment horizontal="center" vertical="center" wrapText="1"/>
    </xf>
    <xf numFmtId="0" fontId="13" fillId="0" borderId="0" xfId="0" applyFont="1"/>
    <xf numFmtId="167"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9" fontId="0" fillId="0" borderId="0" xfId="2" applyFont="1" applyAlignment="1">
      <alignment horizontal="right"/>
    </xf>
    <xf numFmtId="0" fontId="13" fillId="0" borderId="0" xfId="0" applyFont="1" applyAlignment="1">
      <alignment vertical="top"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9" fontId="18" fillId="0" borderId="1" xfId="2" applyFont="1" applyBorder="1" applyAlignment="1" applyProtection="1">
      <alignment horizontal="center" vertical="center" wrapText="1"/>
      <protection locked="0"/>
    </xf>
    <xf numFmtId="0" fontId="6" fillId="2" borderId="12" xfId="4" applyFont="1" applyFill="1" applyBorder="1" applyAlignment="1" applyProtection="1">
      <alignment vertical="center"/>
      <protection hidden="1"/>
    </xf>
    <xf numFmtId="0" fontId="6" fillId="2" borderId="12" xfId="4" applyFont="1" applyFill="1" applyBorder="1" applyAlignment="1" applyProtection="1">
      <alignment horizontal="left" vertical="center" wrapText="1"/>
      <protection hidden="1"/>
    </xf>
    <xf numFmtId="0" fontId="6" fillId="2" borderId="3" xfId="4" applyFont="1" applyFill="1" applyBorder="1" applyAlignment="1" applyProtection="1">
      <alignment horizontal="left" vertical="center" wrapText="1"/>
      <protection hidden="1"/>
    </xf>
    <xf numFmtId="0" fontId="18" fillId="0" borderId="0" xfId="4" applyFont="1"/>
    <xf numFmtId="0" fontId="6" fillId="0" borderId="0" xfId="4" applyFont="1" applyAlignment="1" applyProtection="1">
      <alignment horizontal="center" vertical="center"/>
      <protection hidden="1"/>
    </xf>
    <xf numFmtId="0" fontId="0" fillId="0" borderId="0" xfId="0" applyAlignment="1">
      <alignment horizontal="center" vertical="center"/>
    </xf>
    <xf numFmtId="2" fontId="0" fillId="0" borderId="0" xfId="0" applyNumberFormat="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wrapText="1"/>
    </xf>
    <xf numFmtId="0" fontId="13" fillId="0" borderId="0" xfId="1" applyNumberFormat="1" applyFont="1" applyBorder="1"/>
    <xf numFmtId="0" fontId="19" fillId="0" borderId="0" xfId="0" applyFont="1" applyAlignment="1">
      <alignment horizontal="left" vertical="center" wrapText="1" indent="5"/>
    </xf>
    <xf numFmtId="0" fontId="14" fillId="0" borderId="0" xfId="0" applyFont="1" applyAlignment="1">
      <alignment vertical="top" wrapText="1"/>
    </xf>
    <xf numFmtId="0" fontId="13" fillId="0" borderId="0" xfId="0" applyFont="1" applyAlignment="1">
      <alignment wrapText="1"/>
    </xf>
    <xf numFmtId="0" fontId="7" fillId="0" borderId="0" xfId="0" applyFont="1" applyAlignment="1">
      <alignment wrapText="1"/>
    </xf>
    <xf numFmtId="0" fontId="16" fillId="0" borderId="0" xfId="0" applyFont="1" applyAlignment="1">
      <alignment wrapText="1"/>
    </xf>
    <xf numFmtId="0" fontId="14" fillId="0" borderId="0" xfId="0" applyFont="1" applyAlignment="1">
      <alignment horizontal="right" wrapText="1"/>
    </xf>
    <xf numFmtId="0" fontId="19" fillId="0" borderId="0" xfId="0" applyFont="1" applyAlignment="1">
      <alignment horizontal="left" vertical="center" wrapText="1"/>
    </xf>
    <xf numFmtId="0" fontId="14" fillId="0" borderId="1" xfId="0" applyFont="1" applyBorder="1" applyAlignment="1">
      <alignment wrapText="1"/>
    </xf>
    <xf numFmtId="0" fontId="13" fillId="0" borderId="1" xfId="0" applyFont="1" applyBorder="1" applyAlignment="1">
      <alignment wrapText="1"/>
    </xf>
    <xf numFmtId="0" fontId="11" fillId="0" borderId="0" xfId="0" applyFont="1" applyAlignment="1">
      <alignment horizontal="right" vertical="center"/>
    </xf>
    <xf numFmtId="0" fontId="7" fillId="0" borderId="0" xfId="0" applyFont="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vertical="center"/>
    </xf>
    <xf numFmtId="0" fontId="0" fillId="0" borderId="0" xfId="0" applyAlignment="1">
      <alignment vertical="top" wrapText="1"/>
    </xf>
    <xf numFmtId="0" fontId="21" fillId="0" borderId="0" xfId="0" applyFont="1" applyAlignment="1">
      <alignment vertical="top" wrapText="1"/>
    </xf>
    <xf numFmtId="0" fontId="22" fillId="0" borderId="0" xfId="0" applyFont="1"/>
    <xf numFmtId="0" fontId="17" fillId="0" borderId="0" xfId="0" applyFont="1"/>
    <xf numFmtId="1" fontId="18" fillId="8" borderId="1" xfId="2" applyNumberFormat="1" applyFont="1" applyFill="1" applyBorder="1" applyAlignment="1" applyProtection="1">
      <alignment horizontal="center" vertical="center" wrapText="1"/>
      <protection locked="0"/>
    </xf>
    <xf numFmtId="0" fontId="23" fillId="2" borderId="2" xfId="4" applyFont="1" applyFill="1" applyBorder="1" applyAlignment="1" applyProtection="1">
      <alignment horizontal="center" vertical="center" wrapText="1"/>
      <protection hidden="1"/>
    </xf>
    <xf numFmtId="0" fontId="23" fillId="2" borderId="3" xfId="4" applyFont="1" applyFill="1" applyBorder="1" applyAlignment="1" applyProtection="1">
      <alignment horizontal="center" vertical="center" wrapText="1"/>
      <protection hidden="1"/>
    </xf>
    <xf numFmtId="9" fontId="23" fillId="2" borderId="3" xfId="4" applyNumberFormat="1" applyFont="1" applyFill="1" applyBorder="1" applyAlignment="1" applyProtection="1">
      <alignment horizontal="center" vertical="center" wrapText="1"/>
      <protection hidden="1"/>
    </xf>
    <xf numFmtId="0" fontId="23" fillId="2" borderId="4" xfId="4" applyFont="1" applyFill="1" applyBorder="1" applyAlignment="1" applyProtection="1">
      <alignment horizontal="center" vertical="center" wrapText="1"/>
      <protection hidden="1"/>
    </xf>
    <xf numFmtId="3" fontId="24" fillId="0" borderId="7" xfId="4" applyNumberFormat="1" applyFont="1" applyBorder="1" applyAlignment="1" applyProtection="1">
      <alignment horizontal="center" vertical="center" wrapText="1"/>
      <protection locked="0"/>
    </xf>
    <xf numFmtId="3" fontId="24" fillId="0" borderId="8" xfId="4" applyNumberFormat="1" applyFont="1" applyBorder="1" applyAlignment="1" applyProtection="1">
      <alignment horizontal="center" vertical="center" wrapText="1"/>
      <protection locked="0"/>
    </xf>
    <xf numFmtId="0" fontId="23" fillId="0" borderId="0" xfId="5" applyFont="1" applyFill="1" applyBorder="1" applyAlignment="1">
      <alignment horizontal="center" vertical="center" wrapText="1"/>
    </xf>
    <xf numFmtId="0" fontId="25" fillId="0" borderId="0" xfId="0" applyFont="1" applyAlignment="1">
      <alignment wrapText="1"/>
    </xf>
    <xf numFmtId="0" fontId="19" fillId="0" borderId="0" xfId="0" applyFont="1" applyAlignment="1">
      <alignment wrapText="1"/>
    </xf>
    <xf numFmtId="0" fontId="14" fillId="0" borderId="4" xfId="0" applyFont="1" applyBorder="1" applyAlignment="1">
      <alignment vertical="center"/>
    </xf>
    <xf numFmtId="0" fontId="14" fillId="0" borderId="4" xfId="0" applyFont="1" applyBorder="1" applyAlignment="1">
      <alignment horizontal="center" vertical="center" wrapText="1"/>
    </xf>
    <xf numFmtId="0" fontId="24" fillId="0" borderId="5" xfId="4" applyFont="1" applyBorder="1" applyAlignment="1">
      <alignment wrapText="1"/>
    </xf>
    <xf numFmtId="0" fontId="24" fillId="0" borderId="1" xfId="4" applyFont="1" applyBorder="1" applyAlignment="1">
      <alignment horizontal="center"/>
    </xf>
    <xf numFmtId="166" fontId="24" fillId="0" borderId="6" xfId="4" applyNumberFormat="1" applyFont="1" applyBorder="1"/>
    <xf numFmtId="0" fontId="14" fillId="0" borderId="0" xfId="0" applyFont="1"/>
    <xf numFmtId="0" fontId="13" fillId="0" borderId="0" xfId="0" applyFont="1" applyAlignment="1">
      <alignment horizontal="right"/>
    </xf>
    <xf numFmtId="0" fontId="13" fillId="0" borderId="0" xfId="0" applyFont="1" applyAlignment="1">
      <alignment horizontal="left"/>
    </xf>
    <xf numFmtId="0" fontId="16" fillId="0" borderId="0" xfId="0" applyFont="1" applyAlignment="1">
      <alignment vertical="center"/>
    </xf>
    <xf numFmtId="0" fontId="19" fillId="0" borderId="0" xfId="0" applyFont="1"/>
    <xf numFmtId="3" fontId="24" fillId="5" borderId="8" xfId="4" applyNumberFormat="1"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4" xfId="0" applyFont="1" applyBorder="1" applyAlignment="1">
      <alignment horizontal="right" vertical="center" wrapText="1"/>
    </xf>
    <xf numFmtId="166" fontId="13" fillId="0" borderId="7" xfId="0" applyNumberFormat="1" applyFont="1" applyBorder="1" applyAlignment="1">
      <alignment horizontal="right" vertical="center"/>
    </xf>
    <xf numFmtId="166" fontId="13" fillId="0" borderId="11" xfId="0" applyNumberFormat="1" applyFont="1" applyBorder="1" applyAlignment="1">
      <alignment horizontal="right"/>
    </xf>
    <xf numFmtId="166" fontId="13" fillId="0" borderId="2" xfId="0" applyNumberFormat="1" applyFont="1" applyBorder="1" applyAlignment="1">
      <alignment horizontal="right"/>
    </xf>
    <xf numFmtId="0" fontId="29" fillId="0" borderId="0" xfId="5" applyFont="1"/>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xf>
    <xf numFmtId="0" fontId="13" fillId="0" borderId="9" xfId="0" applyFont="1" applyBorder="1" applyAlignment="1">
      <alignment horizontal="right" vertical="center"/>
    </xf>
    <xf numFmtId="9" fontId="0" fillId="0" borderId="0" xfId="2" applyFont="1"/>
    <xf numFmtId="0" fontId="7" fillId="0" borderId="0" xfId="0" applyFont="1" applyAlignment="1">
      <alignment horizontal="left" vertical="center"/>
    </xf>
    <xf numFmtId="0" fontId="27" fillId="0" borderId="0" xfId="0" applyFont="1" applyAlignment="1">
      <alignment horizontal="left"/>
    </xf>
    <xf numFmtId="0" fontId="7" fillId="0" borderId="0" xfId="0" applyFont="1" applyAlignment="1">
      <alignment horizontal="left"/>
    </xf>
    <xf numFmtId="0" fontId="11" fillId="0" borderId="0" xfId="0" applyFont="1" applyAlignment="1">
      <alignment horizontal="left" vertical="center"/>
    </xf>
    <xf numFmtId="0" fontId="15" fillId="0" borderId="1" xfId="0" applyFont="1" applyBorder="1" applyAlignment="1">
      <alignment horizontal="right" vertical="center"/>
    </xf>
    <xf numFmtId="0" fontId="11" fillId="0" borderId="1" xfId="0" applyFont="1" applyBorder="1" applyAlignment="1">
      <alignment horizontal="right" vertical="center"/>
    </xf>
    <xf numFmtId="0" fontId="15" fillId="0" borderId="0" xfId="0" applyFont="1" applyAlignment="1">
      <alignment horizontal="right" vertical="center"/>
    </xf>
    <xf numFmtId="43" fontId="7" fillId="0" borderId="0" xfId="1" applyFont="1" applyAlignment="1">
      <alignment vertical="center"/>
    </xf>
    <xf numFmtId="43" fontId="11" fillId="0" borderId="0" xfId="1" applyFont="1"/>
    <xf numFmtId="0" fontId="28" fillId="2" borderId="0" xfId="1" applyNumberFormat="1" applyFont="1" applyFill="1"/>
    <xf numFmtId="0" fontId="15" fillId="0" borderId="0" xfId="1" applyNumberFormat="1" applyFont="1"/>
    <xf numFmtId="0" fontId="11" fillId="0" borderId="0" xfId="1" applyNumberFormat="1" applyFont="1"/>
    <xf numFmtId="0" fontId="11" fillId="9" borderId="7" xfId="0" applyFont="1" applyFill="1" applyBorder="1" applyAlignment="1">
      <alignment horizontal="right" vertical="center"/>
    </xf>
    <xf numFmtId="9" fontId="11" fillId="9" borderId="11" xfId="2" applyFont="1" applyFill="1" applyBorder="1" applyAlignment="1">
      <alignment horizontal="right" vertical="center"/>
    </xf>
    <xf numFmtId="0" fontId="11" fillId="9" borderId="2" xfId="0" applyFont="1" applyFill="1" applyBorder="1" applyAlignment="1">
      <alignment horizontal="right" vertical="center"/>
    </xf>
    <xf numFmtId="0" fontId="11" fillId="9" borderId="9" xfId="0" applyFont="1" applyFill="1" applyBorder="1" applyAlignment="1">
      <alignment horizontal="right" vertical="center"/>
    </xf>
    <xf numFmtId="0" fontId="11" fillId="9" borderId="10" xfId="0" applyFont="1" applyFill="1" applyBorder="1" applyAlignment="1">
      <alignment horizontal="right" vertical="center"/>
    </xf>
    <xf numFmtId="0" fontId="11" fillId="9" borderId="4" xfId="0" applyFont="1" applyFill="1" applyBorder="1" applyAlignment="1">
      <alignment horizontal="right" vertical="center"/>
    </xf>
    <xf numFmtId="0" fontId="15" fillId="0" borderId="1" xfId="0" applyFont="1" applyBorder="1" applyAlignment="1">
      <alignment horizontal="left" vertical="center"/>
    </xf>
    <xf numFmtId="0" fontId="11" fillId="0" borderId="1" xfId="0" applyFont="1" applyBorder="1" applyAlignment="1">
      <alignment horizontal="left" vertical="center"/>
    </xf>
    <xf numFmtId="0" fontId="13" fillId="9" borderId="9" xfId="0" applyFont="1" applyFill="1" applyBorder="1" applyAlignment="1">
      <alignment horizontal="right" vertical="center" wrapText="1"/>
    </xf>
    <xf numFmtId="3" fontId="13" fillId="9" borderId="7" xfId="0" applyNumberFormat="1" applyFont="1" applyFill="1" applyBorder="1" applyAlignment="1">
      <alignment horizontal="right" vertical="center"/>
    </xf>
    <xf numFmtId="0" fontId="13" fillId="9" borderId="10" xfId="0" applyFont="1" applyFill="1" applyBorder="1" applyAlignment="1">
      <alignment horizontal="right" vertical="center" wrapText="1"/>
    </xf>
    <xf numFmtId="3" fontId="13" fillId="9" borderId="11" xfId="0" applyNumberFormat="1" applyFont="1" applyFill="1" applyBorder="1" applyAlignment="1">
      <alignment horizontal="right" vertical="center"/>
    </xf>
    <xf numFmtId="0" fontId="13" fillId="9" borderId="11" xfId="0" applyFont="1" applyFill="1" applyBorder="1" applyAlignment="1">
      <alignment horizontal="right" vertical="center"/>
    </xf>
    <xf numFmtId="0" fontId="13" fillId="9" borderId="4" xfId="0" applyFont="1" applyFill="1" applyBorder="1" applyAlignment="1">
      <alignment horizontal="right" vertical="center" wrapText="1"/>
    </xf>
    <xf numFmtId="0" fontId="13" fillId="9" borderId="2" xfId="0" applyFont="1" applyFill="1" applyBorder="1" applyAlignment="1">
      <alignment horizontal="right" vertical="center"/>
    </xf>
    <xf numFmtId="0" fontId="14" fillId="9" borderId="4" xfId="0" applyFont="1" applyFill="1" applyBorder="1" applyAlignment="1">
      <alignment horizontal="center" vertical="center" wrapText="1"/>
    </xf>
    <xf numFmtId="166" fontId="13" fillId="9" borderId="6" xfId="0" applyNumberFormat="1" applyFont="1" applyFill="1" applyBorder="1"/>
    <xf numFmtId="166" fontId="13" fillId="9" borderId="9" xfId="0" applyNumberFormat="1" applyFont="1" applyFill="1" applyBorder="1"/>
    <xf numFmtId="0" fontId="24" fillId="9" borderId="5" xfId="4" applyFont="1" applyFill="1" applyBorder="1" applyAlignment="1">
      <alignment wrapText="1"/>
    </xf>
    <xf numFmtId="0" fontId="24" fillId="9" borderId="1" xfId="4" applyFont="1" applyFill="1" applyBorder="1" applyAlignment="1">
      <alignment horizontal="center"/>
    </xf>
    <xf numFmtId="0" fontId="24" fillId="9" borderId="7" xfId="4" applyFont="1" applyFill="1" applyBorder="1" applyAlignment="1">
      <alignment wrapText="1"/>
    </xf>
    <xf numFmtId="0" fontId="13" fillId="9" borderId="9" xfId="0" applyFont="1" applyFill="1" applyBorder="1" applyAlignment="1">
      <alignment horizontal="right" wrapText="1"/>
    </xf>
    <xf numFmtId="1" fontId="13" fillId="9" borderId="7" xfId="1" applyNumberFormat="1" applyFont="1" applyFill="1" applyBorder="1" applyAlignment="1">
      <alignment horizontal="right" vertical="center"/>
    </xf>
    <xf numFmtId="0" fontId="13" fillId="9" borderId="10" xfId="0" applyFont="1" applyFill="1" applyBorder="1" applyAlignment="1">
      <alignment horizontal="right" wrapText="1"/>
    </xf>
    <xf numFmtId="1" fontId="13" fillId="9" borderId="11" xfId="1" applyNumberFormat="1" applyFont="1" applyFill="1" applyBorder="1" applyAlignment="1">
      <alignment horizontal="right" vertical="center"/>
    </xf>
    <xf numFmtId="9" fontId="13" fillId="9" borderId="11" xfId="1" applyNumberFormat="1" applyFont="1" applyFill="1" applyBorder="1" applyAlignment="1">
      <alignment horizontal="right" vertical="center"/>
    </xf>
    <xf numFmtId="0" fontId="13" fillId="9" borderId="4" xfId="0" applyFont="1" applyFill="1" applyBorder="1" applyAlignment="1">
      <alignment horizontal="right" wrapText="1"/>
    </xf>
    <xf numFmtId="1" fontId="13" fillId="9" borderId="2" xfId="1" applyNumberFormat="1" applyFont="1" applyFill="1" applyBorder="1" applyAlignment="1">
      <alignment horizontal="right"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xf>
    <xf numFmtId="0" fontId="11" fillId="10" borderId="9" xfId="0" applyFont="1" applyFill="1" applyBorder="1" applyAlignment="1">
      <alignment horizontal="right" vertical="center"/>
    </xf>
    <xf numFmtId="0" fontId="11" fillId="10" borderId="7" xfId="0" applyFont="1" applyFill="1" applyBorder="1" applyAlignment="1">
      <alignment horizontal="right" vertical="center"/>
    </xf>
    <xf numFmtId="0" fontId="11" fillId="10" borderId="4" xfId="0" applyFont="1" applyFill="1" applyBorder="1" applyAlignment="1">
      <alignment horizontal="right" vertical="center"/>
    </xf>
    <xf numFmtId="0" fontId="11" fillId="10" borderId="2" xfId="0" applyFont="1" applyFill="1" applyBorder="1" applyAlignment="1">
      <alignment horizontal="right" vertical="center"/>
    </xf>
    <xf numFmtId="0" fontId="13" fillId="10" borderId="9" xfId="0" applyFont="1" applyFill="1" applyBorder="1" applyAlignment="1">
      <alignment horizontal="right" vertical="center" wrapText="1"/>
    </xf>
    <xf numFmtId="0" fontId="13" fillId="10" borderId="7" xfId="0" applyFont="1" applyFill="1" applyBorder="1" applyAlignment="1">
      <alignment horizontal="right" vertical="center"/>
    </xf>
    <xf numFmtId="0" fontId="13" fillId="10" borderId="4" xfId="0" applyFont="1" applyFill="1" applyBorder="1" applyAlignment="1">
      <alignment horizontal="right" vertical="center" wrapText="1"/>
    </xf>
    <xf numFmtId="0" fontId="13" fillId="10" borderId="2" xfId="0" applyFont="1" applyFill="1" applyBorder="1" applyAlignment="1">
      <alignment horizontal="right" vertical="center"/>
    </xf>
    <xf numFmtId="0" fontId="5" fillId="0" borderId="0" xfId="0" applyFont="1" applyAlignment="1">
      <alignment vertical="center" wrapText="1"/>
    </xf>
    <xf numFmtId="0" fontId="11" fillId="10" borderId="10" xfId="0" applyFont="1" applyFill="1" applyBorder="1" applyAlignment="1">
      <alignment horizontal="right" vertical="center"/>
    </xf>
    <xf numFmtId="0" fontId="11" fillId="10" borderId="11" xfId="0" applyFont="1" applyFill="1" applyBorder="1" applyAlignment="1">
      <alignment horizontal="right" vertical="center"/>
    </xf>
    <xf numFmtId="0" fontId="30" fillId="11" borderId="0" xfId="0" applyFont="1" applyFill="1"/>
    <xf numFmtId="0" fontId="31" fillId="0" borderId="0" xfId="0" applyFont="1" applyAlignment="1">
      <alignment horizontal="left" vertical="center"/>
    </xf>
    <xf numFmtId="0" fontId="21" fillId="0" borderId="0" xfId="0" applyFont="1" applyAlignment="1">
      <alignment vertical="center" wrapText="1"/>
    </xf>
    <xf numFmtId="0" fontId="13" fillId="0" borderId="0" xfId="0" applyFont="1" applyAlignment="1">
      <alignment horizontal="right" vertical="center" wrapText="1"/>
    </xf>
    <xf numFmtId="165" fontId="0" fillId="0" borderId="0" xfId="0" applyNumberFormat="1"/>
    <xf numFmtId="0" fontId="33" fillId="0" borderId="0" xfId="0" applyFont="1" applyAlignment="1">
      <alignment wrapText="1"/>
    </xf>
    <xf numFmtId="168" fontId="0" fillId="0" borderId="0" xfId="0" applyNumberFormat="1"/>
    <xf numFmtId="10" fontId="24" fillId="0" borderId="8" xfId="2" applyNumberFormat="1" applyFont="1" applyFill="1" applyBorder="1" applyAlignment="1" applyProtection="1">
      <alignment horizontal="center" vertical="center" wrapText="1"/>
      <protection locked="0"/>
    </xf>
    <xf numFmtId="0" fontId="11" fillId="0" borderId="1" xfId="0" applyFont="1" applyBorder="1" applyAlignment="1">
      <alignment horizontal="left" vertical="top" wrapText="1"/>
    </xf>
    <xf numFmtId="0" fontId="34" fillId="0" borderId="0" xfId="0" applyFont="1"/>
    <xf numFmtId="0" fontId="0" fillId="0" borderId="14" xfId="0" applyBorder="1" applyAlignment="1">
      <alignment wrapText="1"/>
    </xf>
    <xf numFmtId="0" fontId="0" fillId="0" borderId="15" xfId="0" applyBorder="1" applyAlignment="1">
      <alignment wrapText="1"/>
    </xf>
    <xf numFmtId="0" fontId="34" fillId="0" borderId="13" xfId="0" applyFont="1" applyBorder="1" applyAlignment="1">
      <alignment wrapText="1"/>
    </xf>
    <xf numFmtId="0" fontId="0" fillId="0" borderId="13" xfId="0" applyBorder="1"/>
    <xf numFmtId="0" fontId="0" fillId="0" borderId="14" xfId="0" applyBorder="1"/>
    <xf numFmtId="0" fontId="13" fillId="0" borderId="1" xfId="1" applyNumberFormat="1" applyFont="1" applyBorder="1" applyAlignment="1" applyProtection="1">
      <alignment horizontal="center" vertical="center" wrapText="1"/>
      <protection locked="0"/>
    </xf>
    <xf numFmtId="0" fontId="32" fillId="4" borderId="1" xfId="1" applyNumberFormat="1" applyFont="1" applyFill="1" applyBorder="1" applyAlignment="1" applyProtection="1">
      <alignment horizontal="center" vertical="center" wrapText="1"/>
      <protection locked="0"/>
    </xf>
    <xf numFmtId="165" fontId="32" fillId="4" borderId="1" xfId="1" applyNumberFormat="1" applyFont="1" applyFill="1" applyBorder="1" applyAlignment="1" applyProtection="1">
      <alignment horizontal="center" vertical="center" wrapText="1"/>
      <protection locked="0"/>
    </xf>
    <xf numFmtId="2" fontId="24" fillId="0" borderId="1" xfId="1" applyNumberFormat="1" applyFont="1" applyBorder="1" applyAlignment="1" applyProtection="1">
      <alignment horizontal="center" vertical="center" wrapText="1"/>
      <protection locked="0"/>
    </xf>
    <xf numFmtId="0" fontId="13" fillId="0" borderId="6" xfId="1" applyNumberFormat="1" applyFont="1" applyBorder="1" applyAlignment="1" applyProtection="1">
      <alignment horizontal="center" vertical="center" wrapText="1"/>
      <protection locked="0"/>
    </xf>
    <xf numFmtId="0" fontId="35" fillId="0" borderId="0" xfId="0" applyFont="1" applyAlignment="1">
      <alignment vertical="center"/>
    </xf>
    <xf numFmtId="0" fontId="35" fillId="0" borderId="0" xfId="0" applyFont="1" applyAlignment="1">
      <alignment vertical="center" wrapText="1"/>
    </xf>
    <xf numFmtId="2" fontId="24" fillId="0" borderId="12" xfId="1" applyNumberFormat="1" applyFont="1" applyFill="1" applyBorder="1" applyAlignment="1" applyProtection="1">
      <alignment horizontal="center" vertical="center" wrapText="1"/>
      <protection locked="0"/>
    </xf>
    <xf numFmtId="2" fontId="0" fillId="0" borderId="0" xfId="0" applyNumberFormat="1" applyAlignment="1">
      <alignment wrapText="1"/>
    </xf>
    <xf numFmtId="3" fontId="24" fillId="0" borderId="1" xfId="4" applyNumberFormat="1" applyFont="1" applyBorder="1" applyAlignment="1" applyProtection="1">
      <alignment horizontal="center" vertical="center" wrapText="1"/>
      <protection locked="0"/>
    </xf>
    <xf numFmtId="0" fontId="24" fillId="0" borderId="1" xfId="4" applyFont="1" applyBorder="1" applyAlignment="1" applyProtection="1">
      <alignment horizontal="center" vertical="center" wrapText="1"/>
      <protection locked="0"/>
    </xf>
    <xf numFmtId="9" fontId="24" fillId="0" borderId="1" xfId="0" applyNumberFormat="1" applyFont="1" applyBorder="1" applyAlignment="1" applyProtection="1">
      <alignment horizontal="center" vertical="center" wrapText="1"/>
      <protection locked="0"/>
    </xf>
    <xf numFmtId="3" fontId="24" fillId="0" borderId="5" xfId="4" applyNumberFormat="1" applyFont="1" applyBorder="1" applyAlignment="1" applyProtection="1">
      <alignment horizontal="center" vertical="center" wrapText="1"/>
      <protection locked="0"/>
    </xf>
    <xf numFmtId="166" fontId="14" fillId="0" borderId="11" xfId="0" applyNumberFormat="1" applyFont="1" applyBorder="1" applyAlignment="1">
      <alignment horizontal="right"/>
    </xf>
    <xf numFmtId="0" fontId="36" fillId="0" borderId="0" xfId="5" applyFont="1"/>
    <xf numFmtId="0" fontId="9" fillId="3" borderId="0" xfId="0" applyFont="1" applyFill="1" applyAlignment="1">
      <alignment vertical="center"/>
    </xf>
    <xf numFmtId="0" fontId="30" fillId="11" borderId="0" xfId="0" applyFont="1" applyFill="1" applyAlignment="1">
      <alignment vertical="center"/>
    </xf>
    <xf numFmtId="0" fontId="26" fillId="0" borderId="0" xfId="0" applyFont="1" applyAlignment="1">
      <alignment horizontal="left" vertical="center" wrapText="1"/>
    </xf>
    <xf numFmtId="0" fontId="34" fillId="0" borderId="0" xfId="0" applyFont="1" applyAlignment="1">
      <alignment vertical="center" wrapText="1"/>
    </xf>
    <xf numFmtId="0" fontId="34" fillId="0" borderId="0" xfId="0" applyFont="1" applyAlignment="1">
      <alignment vertical="center"/>
    </xf>
    <xf numFmtId="0" fontId="34" fillId="0" borderId="0" xfId="0" applyFont="1" applyAlignment="1">
      <alignment horizontal="right" vertical="center" wrapText="1"/>
    </xf>
    <xf numFmtId="0" fontId="13" fillId="0" borderId="0" xfId="0" applyFont="1" applyAlignment="1">
      <alignment horizontal="left" vertical="center" indent="1"/>
    </xf>
    <xf numFmtId="0" fontId="25" fillId="0" borderId="0" xfId="0" applyFont="1" applyAlignment="1">
      <alignment horizontal="left" indent="1"/>
    </xf>
    <xf numFmtId="0" fontId="13" fillId="0" borderId="0" xfId="0" applyFont="1" applyAlignment="1">
      <alignment horizontal="left" indent="1"/>
    </xf>
    <xf numFmtId="0" fontId="0" fillId="0" borderId="0" xfId="0" applyFont="1" applyAlignment="1">
      <alignment horizontal="right" vertical="center"/>
    </xf>
  </cellXfs>
  <cellStyles count="6">
    <cellStyle name="Comma" xfId="1" builtinId="3"/>
    <cellStyle name="Comma 2" xfId="3" xr:uid="{635CBEC1-B31B-40A1-A0B1-EF63102257E2}"/>
    <cellStyle name="Hyperlink" xfId="5" builtinId="8"/>
    <cellStyle name="Normal" xfId="0" builtinId="0"/>
    <cellStyle name="Normal 2" xfId="4" xr:uid="{9C98A8C9-E231-48A0-BA1E-63031E755EC1}"/>
    <cellStyle name="Percent" xfId="2" builtinId="5"/>
  </cellStyles>
  <dxfs count="86">
    <dxf>
      <numFmt numFmtId="166" formatCode="&quot;$&quot;#,##0.00"/>
    </dxf>
    <dxf>
      <numFmt numFmtId="2" formatCode="0.00"/>
    </dxf>
    <dxf>
      <numFmt numFmtId="13" formatCode="0%"/>
    </dxf>
    <dxf>
      <border>
        <left style="thin">
          <color auto="1"/>
        </left>
        <right style="thin">
          <color auto="1"/>
        </right>
        <top style="thin">
          <color auto="1"/>
        </top>
        <bottom style="thin">
          <color auto="1"/>
        </bottom>
        <vertical/>
        <horizontal/>
      </border>
    </dxf>
    <dxf>
      <font>
        <b/>
        <i val="0"/>
      </font>
    </dxf>
    <dxf>
      <font>
        <b/>
        <i val="0"/>
      </font>
    </dxf>
    <dxf>
      <font>
        <b/>
        <i val="0"/>
      </font>
      <border>
        <left/>
        <right/>
        <top/>
        <bottom/>
      </border>
    </dxf>
    <dxf>
      <font>
        <b/>
        <i val="0"/>
      </font>
      <border>
        <left/>
        <right/>
        <top/>
        <bottom/>
      </border>
    </dxf>
    <dxf>
      <border>
        <left style="thin">
          <color auto="1"/>
        </left>
        <right style="thin">
          <color auto="1"/>
        </right>
        <top style="thin">
          <color auto="1"/>
        </top>
        <bottom style="thin">
          <color auto="1"/>
        </bottom>
        <vertical/>
        <horizontal/>
      </border>
    </dxf>
    <dxf>
      <font>
        <b/>
        <i val="0"/>
      </font>
    </dxf>
    <dxf>
      <font>
        <b/>
        <i val="0"/>
      </font>
      <border>
        <left/>
        <right/>
        <top/>
        <bottom/>
      </border>
    </dxf>
    <dxf>
      <font>
        <b/>
        <i val="0"/>
      </font>
      <border>
        <left/>
        <right/>
        <top/>
        <bottom/>
      </border>
    </dxf>
    <dxf>
      <font>
        <b/>
        <i val="0"/>
      </font>
    </dxf>
    <dxf>
      <border>
        <left style="thin">
          <color auto="1"/>
        </left>
        <right style="thin">
          <color auto="1"/>
        </right>
        <top style="thin">
          <color auto="1"/>
        </top>
        <bottom style="thin">
          <color auto="1"/>
        </bottom>
        <vertical/>
        <horizontal/>
      </border>
    </dxf>
    <dxf>
      <font>
        <color rgb="FFCCDC00"/>
      </font>
      <fill>
        <patternFill>
          <bgColor rgb="FF005172"/>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color theme="0"/>
      </font>
      <fill>
        <patternFill>
          <bgColor rgb="FFC00000"/>
        </patternFill>
      </fill>
    </dxf>
    <dxf>
      <font>
        <color theme="0" tint="-0.24994659260841701"/>
      </font>
      <fill>
        <patternFill patternType="solid">
          <bgColor theme="0" tint="-0.24994659260841701"/>
        </patternFill>
      </fill>
    </dxf>
    <dxf>
      <font>
        <color theme="1"/>
      </font>
      <fill>
        <patternFill patternType="none">
          <bgColor auto="1"/>
        </patternFill>
      </fill>
    </dxf>
    <dxf>
      <fill>
        <patternFill>
          <bgColor theme="0"/>
        </patternFill>
      </fill>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outline val="0"/>
        <shadow val="0"/>
        <u val="none"/>
        <vertAlign val="baseline"/>
        <sz val="9"/>
        <color auto="1"/>
        <name val="Arial"/>
        <family val="2"/>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0" tint="-0.249977111117893"/>
        <name val="Arial"/>
        <family val="2"/>
        <scheme val="none"/>
      </font>
      <numFmt numFmtId="165" formatCode="&quot;$&quot;#,##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6" formatCode="&quot;$&quot;#,##0.00"/>
      <fill>
        <patternFill patternType="solid">
          <fgColor indexed="64"/>
          <bgColor theme="0" tint="-0.14999847407452621"/>
        </patternFill>
      </fill>
      <border diagonalUp="0" diagonalDown="0" outline="0">
        <left style="thin">
          <color indexed="64"/>
        </left>
        <right/>
        <top style="thin">
          <color indexed="64"/>
        </top>
        <bottom style="thin">
          <color indexed="64"/>
        </bottom>
      </border>
    </dxf>
    <dxf>
      <font>
        <strike val="0"/>
        <outline val="0"/>
        <shadow val="0"/>
        <u val="none"/>
        <vertAlign val="baseline"/>
        <sz val="9"/>
        <name val="Arial"/>
        <family val="2"/>
        <scheme val="none"/>
      </font>
      <numFmt numFmtId="166" formatCode="&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5050"/>
      <color rgb="FFFFFFFF"/>
      <color rgb="FFCCDC00"/>
      <color rgb="FFF4EE00"/>
      <color rgb="FF0051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CORE-CCR@tbs-sct.gc.ca" TargetMode="External"/><Relationship Id="rId2" Type="http://schemas.openxmlformats.org/officeDocument/2006/relationships/hyperlink" Target="https://web-archive.oecd.org/2012-06-15/153963-34227698.pdf" TargetMode="External"/><Relationship Id="rId1" Type="http://schemas.openxmlformats.org/officeDocument/2006/relationships/image" Target="../media/image1.jpeg"/><Relationship Id="rId6" Type="http://schemas.openxmlformats.org/officeDocument/2006/relationships/hyperlink" Target="#InitiativeDetailsLanding"/><Relationship Id="rId5"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3" Type="http://schemas.openxmlformats.org/officeDocument/2006/relationships/hyperlink" Target="#AnnualStakeholderCounts"/><Relationship Id="rId2" Type="http://schemas.openxmlformats.org/officeDocument/2006/relationships/hyperlink" Target="#ActivityLanding"/><Relationship Id="rId1" Type="http://schemas.openxmlformats.org/officeDocument/2006/relationships/hyperlink" Target="#InitiativeDetailsLanding"/></Relationships>
</file>

<file path=xl/drawings/_rels/drawing4.xml.rels><?xml version="1.0" encoding="UTF-8" standalone="yes"?>
<Relationships xmlns="http://schemas.openxmlformats.org/package/2006/relationships"><Relationship Id="rId3" Type="http://schemas.openxmlformats.org/officeDocument/2006/relationships/hyperlink" Target="#SBLLanding"/><Relationship Id="rId7" Type="http://schemas.openxmlformats.org/officeDocument/2006/relationships/hyperlink" Target="#Custom_Labour"/><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hyperlink" Target="#ImpactsByStakeholderLanding"/><Relationship Id="rId5" Type="http://schemas.openxmlformats.org/officeDocument/2006/relationships/hyperlink" Target="#ImpactsByActivityLanding"/><Relationship Id="rId4" Type="http://schemas.openxmlformats.org/officeDocument/2006/relationships/hyperlink" Target="#NetImpactsLanding"/></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0.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1.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3.xml.rels><?xml version="1.0" encoding="UTF-8" standalone="yes"?>
<Relationships xmlns="http://schemas.openxmlformats.org/package/2006/relationships"><Relationship Id="rId1" Type="http://schemas.openxmlformats.org/officeDocument/2006/relationships/hyperlink" Target="#FormulasLanding"/></Relationships>
</file>

<file path=xl/drawings/_rels/drawing14.xml.rels><?xml version="1.0" encoding="UTF-8" standalone="yes"?>
<Relationships xmlns="http://schemas.openxmlformats.org/package/2006/relationships"><Relationship Id="rId1" Type="http://schemas.openxmlformats.org/officeDocument/2006/relationships/hyperlink" Target="#FullOutputLanding"/></Relationships>
</file>

<file path=xl/drawings/drawing1.xml><?xml version="1.0" encoding="utf-8"?>
<xdr:wsDr xmlns:xdr="http://schemas.openxmlformats.org/drawingml/2006/spreadsheetDrawing" xmlns:a="http://schemas.openxmlformats.org/drawingml/2006/main">
  <xdr:twoCellAnchor editAs="absolute">
    <xdr:from>
      <xdr:col>0</xdr:col>
      <xdr:colOff>39170</xdr:colOff>
      <xdr:row>0</xdr:row>
      <xdr:rowOff>39843</xdr:rowOff>
    </xdr:from>
    <xdr:to>
      <xdr:col>3</xdr:col>
      <xdr:colOff>828638</xdr:colOff>
      <xdr:row>15</xdr:row>
      <xdr:rowOff>126323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70" y="39843"/>
          <a:ext cx="3392968" cy="2785230"/>
        </a:xfrm>
        <a:prstGeom prst="rect">
          <a:avLst/>
        </a:prstGeom>
        <a:ln w="38100">
          <a:solidFill>
            <a:schemeClr val="tx1"/>
          </a:solidFill>
        </a:ln>
      </xdr:spPr>
    </xdr:pic>
    <xdr:clientData/>
  </xdr:twoCellAnchor>
  <xdr:twoCellAnchor editAs="absolute">
    <xdr:from>
      <xdr:col>3</xdr:col>
      <xdr:colOff>828832</xdr:colOff>
      <xdr:row>0</xdr:row>
      <xdr:rowOff>24086</xdr:rowOff>
    </xdr:from>
    <xdr:to>
      <xdr:col>13</xdr:col>
      <xdr:colOff>253768</xdr:colOff>
      <xdr:row>15</xdr:row>
      <xdr:rowOff>104851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19632" y="24086"/>
          <a:ext cx="7332803" cy="2874765"/>
        </a:xfrm>
        <a:prstGeom prst="rect">
          <a:avLst/>
        </a:prstGeom>
        <a:solidFill>
          <a:schemeClr val="lt1"/>
        </a:solid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i="0" u="none" strike="noStrike">
              <a:solidFill>
                <a:schemeClr val="dk1"/>
              </a:solidFill>
              <a:effectLst/>
              <a:latin typeface="+mn-lt"/>
              <a:ea typeface="+mn-ea"/>
              <a:cs typeface="+mn-cs"/>
            </a:rPr>
            <a:t>Model info:</a:t>
          </a:r>
          <a:endParaRPr lang="en-CA" sz="1200" b="0" i="0" u="none" strike="noStrike">
            <a:solidFill>
              <a:schemeClr val="dk1"/>
            </a:solidFill>
            <a:effectLst/>
            <a:latin typeface="+mn-lt"/>
            <a:ea typeface="+mn-ea"/>
            <a:cs typeface="+mn-cs"/>
          </a:endParaRPr>
        </a:p>
        <a:p>
          <a:endParaRPr lang="en-CA" sz="1200"/>
        </a:p>
        <a:p>
          <a:r>
            <a:rPr lang="en-CA" sz="1200" b="1" i="0" u="none" strike="noStrike">
              <a:solidFill>
                <a:schemeClr val="dk1"/>
              </a:solidFill>
              <a:effectLst/>
              <a:latin typeface="+mn-lt"/>
              <a:ea typeface="+mn-ea"/>
              <a:cs typeface="+mn-cs"/>
            </a:rPr>
            <a:t>Version: </a:t>
          </a:r>
          <a:r>
            <a:rPr lang="en-CA" sz="1200" b="0" i="0" u="none" strike="noStrike">
              <a:solidFill>
                <a:schemeClr val="dk1"/>
              </a:solidFill>
              <a:effectLst/>
              <a:latin typeface="+mn-lt"/>
              <a:ea typeface="+mn-ea"/>
              <a:cs typeface="+mn-cs"/>
            </a:rPr>
            <a:t>4.00</a:t>
          </a:r>
          <a:endParaRPr lang="en-CA" sz="1200"/>
        </a:p>
        <a:p>
          <a:endParaRPr lang="en-CA" sz="1200"/>
        </a:p>
        <a:p>
          <a:r>
            <a:rPr lang="en-CA" sz="1200" b="1" i="0" u="none" strike="noStrike">
              <a:solidFill>
                <a:schemeClr val="dk1"/>
              </a:solidFill>
              <a:effectLst/>
              <a:latin typeface="+mn-lt"/>
              <a:ea typeface="+mn-ea"/>
              <a:cs typeface="+mn-cs"/>
            </a:rPr>
            <a:t>Version date (dd/mm/yyyy):</a:t>
          </a:r>
          <a:r>
            <a:rPr lang="en-CA" sz="1200"/>
            <a:t> </a:t>
          </a:r>
          <a:r>
            <a:rPr lang="en-CA" sz="1200" b="0" i="0" u="none" strike="noStrike">
              <a:solidFill>
                <a:schemeClr val="dk1"/>
              </a:solidFill>
              <a:effectLst/>
              <a:latin typeface="+mn-lt"/>
              <a:ea typeface="+mn-ea"/>
              <a:cs typeface="+mn-cs"/>
            </a:rPr>
            <a:t>02/07/2024</a:t>
          </a:r>
        </a:p>
        <a:p>
          <a:endParaRPr lang="en-CA" sz="1200" b="0" i="0" u="none" strike="noStrike">
            <a:solidFill>
              <a:schemeClr val="dk1"/>
            </a:solidFill>
            <a:effectLst/>
            <a:latin typeface="+mn-lt"/>
            <a:ea typeface="+mn-ea"/>
            <a:cs typeface="+mn-cs"/>
          </a:endParaRPr>
        </a:p>
        <a:p>
          <a:r>
            <a:rPr lang="en-CA" sz="1200" b="1" i="0" u="none" strike="noStrike">
              <a:solidFill>
                <a:schemeClr val="dk1"/>
              </a:solidFill>
              <a:effectLst/>
              <a:latin typeface="+mn-lt"/>
              <a:ea typeface="+mn-ea"/>
              <a:cs typeface="+mn-cs"/>
            </a:rPr>
            <a:t>Objective:</a:t>
          </a:r>
          <a:r>
            <a:rPr lang="en-CA" sz="1200"/>
            <a:t> </a:t>
          </a:r>
          <a:r>
            <a:rPr lang="en-CA" sz="1200" b="0" i="0" u="none" strike="noStrike">
              <a:solidFill>
                <a:schemeClr val="dk1"/>
              </a:solidFill>
              <a:effectLst/>
              <a:latin typeface="+mn-lt"/>
              <a:ea typeface="+mn-ea"/>
              <a:cs typeface="+mn-cs"/>
            </a:rPr>
            <a:t>Quantify and monetize:</a:t>
          </a:r>
          <a:r>
            <a:rPr lang="en-CA" sz="1200"/>
            <a:t> </a:t>
          </a:r>
          <a:r>
            <a:rPr lang="en-CA" sz="1200" b="0" i="0" u="none" strike="noStrike">
              <a:solidFill>
                <a:schemeClr val="dk1"/>
              </a:solidFill>
              <a:effectLst/>
              <a:latin typeface="+mn-lt"/>
              <a:ea typeface="+mn-ea"/>
              <a:cs typeface="+mn-cs"/>
            </a:rPr>
            <a:t>(1) the direct administrative costs associated with INs and OUTs under the one-for-one rule, and</a:t>
          </a:r>
          <a:r>
            <a:rPr lang="en-CA" sz="1200"/>
            <a:t> </a:t>
          </a:r>
          <a:r>
            <a:rPr lang="en-CA" sz="1200" b="0" i="0" u="none" strike="noStrike">
              <a:solidFill>
                <a:schemeClr val="dk1"/>
              </a:solidFill>
              <a:effectLst/>
              <a:latin typeface="+mn-lt"/>
              <a:ea typeface="+mn-ea"/>
              <a:cs typeface="+mn-cs"/>
            </a:rPr>
            <a:t>(2) the direct compliance and administrative costs associated with flexible options for the small business lens.</a:t>
          </a:r>
          <a:r>
            <a:rPr lang="en-CA" sz="1200"/>
            <a:t> </a:t>
          </a:r>
          <a:r>
            <a:rPr lang="en-CA" sz="1200" b="0" i="0" u="none" strike="noStrike">
              <a:solidFill>
                <a:schemeClr val="dk1"/>
              </a:solidFill>
              <a:effectLst/>
              <a:latin typeface="+mn-lt"/>
              <a:ea typeface="+mn-ea"/>
              <a:cs typeface="+mn-cs"/>
            </a:rPr>
            <a:t> </a:t>
          </a:r>
          <a:r>
            <a:rPr lang="en-CA" sz="1200"/>
            <a:t> </a:t>
          </a:r>
        </a:p>
        <a:p>
          <a:endParaRPr lang="en-CA" sz="12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200" b="1" i="0" u="none" strike="noStrike">
              <a:solidFill>
                <a:schemeClr val="dk1"/>
              </a:solidFill>
              <a:effectLst/>
              <a:latin typeface="+mn-lt"/>
              <a:ea typeface="+mn-ea"/>
              <a:cs typeface="+mn-cs"/>
            </a:rPr>
            <a:t>Methodology: </a:t>
          </a:r>
          <a:r>
            <a:rPr lang="en-CA" sz="1400" b="0" i="0" u="sng">
              <a:solidFill>
                <a:schemeClr val="accent1"/>
              </a:solidFill>
              <a:effectLst/>
              <a:latin typeface="+mn-lt"/>
              <a:ea typeface="+mn-ea"/>
              <a:cs typeface="+mn-cs"/>
            </a:rPr>
            <a:t>Standard Cost Model  </a:t>
          </a:r>
          <a:r>
            <a:rPr lang="en-CA" sz="1600">
              <a:solidFill>
                <a:schemeClr val="accent1"/>
              </a:solidFill>
            </a:rPr>
            <a:t> </a:t>
          </a:r>
        </a:p>
        <a:p>
          <a:endParaRPr lang="en-CA" sz="1200" b="1" i="0" u="none" strike="noStrike">
            <a:ln w="57150">
              <a:solidFill>
                <a:schemeClr val="tx1"/>
              </a:solidFill>
            </a:ln>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200" b="1" i="0" u="none" strike="noStrike">
              <a:solidFill>
                <a:schemeClr val="dk1"/>
              </a:solidFill>
              <a:effectLst/>
              <a:latin typeface="+mn-lt"/>
              <a:ea typeface="+mn-ea"/>
              <a:cs typeface="+mn-cs"/>
            </a:rPr>
            <a:t>For support, contact:</a:t>
          </a:r>
          <a:r>
            <a:rPr lang="en-CA" sz="1200"/>
            <a:t> </a:t>
          </a:r>
          <a:r>
            <a:rPr lang="en-CA" sz="1400" b="0" i="0" u="sng">
              <a:solidFill>
                <a:schemeClr val="accent1"/>
              </a:solidFill>
              <a:effectLst/>
              <a:latin typeface="+mn-lt"/>
              <a:ea typeface="+mn-ea"/>
              <a:cs typeface="+mn-cs"/>
            </a:rPr>
            <a:t>CORE-CCR@tbs-sct.gc.ca</a:t>
          </a:r>
          <a:r>
            <a:rPr lang="en-CA" sz="1400">
              <a:solidFill>
                <a:schemeClr val="accent1"/>
              </a:solidFill>
              <a:effectLst/>
              <a:latin typeface="+mn-lt"/>
              <a:ea typeface="+mn-ea"/>
              <a:cs typeface="+mn-cs"/>
            </a:rPr>
            <a:t> </a:t>
          </a:r>
          <a:endParaRPr lang="en-CA" sz="1600">
            <a:solidFill>
              <a:schemeClr val="accent1"/>
            </a:solidFill>
            <a:effectLst/>
          </a:endParaRPr>
        </a:p>
        <a:p>
          <a:endParaRPr lang="en-CA" sz="1200"/>
        </a:p>
      </xdr:txBody>
    </xdr:sp>
    <xdr:clientData/>
  </xdr:twoCellAnchor>
  <xdr:twoCellAnchor editAs="absolute">
    <xdr:from>
      <xdr:col>0</xdr:col>
      <xdr:colOff>26545</xdr:colOff>
      <xdr:row>15</xdr:row>
      <xdr:rowOff>106471</xdr:rowOff>
    </xdr:from>
    <xdr:to>
      <xdr:col>13</xdr:col>
      <xdr:colOff>257426</xdr:colOff>
      <xdr:row>34</xdr:row>
      <xdr:rowOff>47625</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a:off x="26545" y="2725846"/>
          <a:ext cx="11264006" cy="325902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lang="en-CA" sz="1100" b="1" i="0" u="none" strike="noStrike">
              <a:solidFill>
                <a:schemeClr val="dk1"/>
              </a:solidFill>
              <a:effectLst/>
              <a:latin typeface="+mn-lt"/>
              <a:ea typeface="+mn-ea"/>
              <a:cs typeface="+mn-cs"/>
            </a:rPr>
            <a:t>Guidance:</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p>
        <a:p>
          <a:pPr algn="l"/>
          <a:endParaRPr lang="en-CA" sz="1100" b="0" i="0" u="none" strike="noStrike">
            <a:solidFill>
              <a:schemeClr val="dk1"/>
            </a:solidFill>
            <a:effectLst/>
            <a:latin typeface="+mn-lt"/>
            <a:ea typeface="+mn-ea"/>
            <a:cs typeface="+mn-cs"/>
          </a:endParaRPr>
        </a:p>
        <a:p>
          <a:pPr algn="l"/>
          <a:endParaRPr lang="en-CA" sz="1100" b="0" i="0" u="none" strike="noStrike">
            <a:solidFill>
              <a:schemeClr val="dk1"/>
            </a:solidFill>
            <a:effectLst/>
            <a:latin typeface="+mn-lt"/>
            <a:ea typeface="+mn-ea"/>
            <a:cs typeface="+mn-cs"/>
          </a:endParaRPr>
        </a:p>
        <a:p>
          <a:pPr algn="l"/>
          <a:endParaRPr lang="en-CA" sz="1100" b="0" i="0" u="none" strike="noStrike">
            <a:solidFill>
              <a:schemeClr val="dk1"/>
            </a:solidFill>
            <a:effectLst/>
            <a:latin typeface="+mn-lt"/>
            <a:ea typeface="+mn-ea"/>
            <a:cs typeface="+mn-cs"/>
          </a:endParaRPr>
        </a:p>
        <a:p>
          <a:pPr algn="l"/>
          <a:r>
            <a:rPr lang="en-CA"/>
            <a:t> </a:t>
          </a:r>
          <a:r>
            <a:rPr lang="en-CA" sz="1100" b="1" i="0" u="none" strike="noStrike">
              <a:solidFill>
                <a:schemeClr val="dk1"/>
              </a:solidFill>
              <a:effectLst/>
              <a:latin typeface="+mn-lt"/>
              <a:ea typeface="+mn-ea"/>
              <a:cs typeface="+mn-cs"/>
            </a:rPr>
            <a:t>Tab colour legend:</a:t>
          </a:r>
          <a:r>
            <a:rPr lang="en-CA"/>
            <a:t> </a:t>
          </a:r>
          <a:r>
            <a:rPr lang="en-CA" sz="1100" b="1"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User input required (white cells only)</a:t>
          </a:r>
          <a:r>
            <a:rPr lang="en-CA"/>
            <a:t> </a:t>
          </a:r>
          <a:r>
            <a:rPr lang="en-CA" sz="1100" b="0" i="0" u="none" strike="noStrike">
              <a:solidFill>
                <a:schemeClr val="dk1"/>
              </a:solidFill>
              <a:effectLst/>
              <a:latin typeface="+mn-lt"/>
              <a:ea typeface="+mn-ea"/>
              <a:cs typeface="+mn-cs"/>
            </a:rPr>
            <a:t> </a:t>
          </a:r>
          <a:r>
            <a:rPr lang="en-CA"/>
            <a:t> </a:t>
          </a:r>
          <a:r>
            <a:rPr lang="en-CA" sz="1100" b="1"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One-for-one rule and Small Business Lens output (required for RIAS)</a:t>
          </a:r>
          <a:r>
            <a:rPr lang="en-CA"/>
            <a:t> </a:t>
          </a:r>
          <a:r>
            <a:rPr lang="en-CA" sz="1100" b="0" i="0" u="none" strike="noStrike">
              <a:solidFill>
                <a:schemeClr val="dk1"/>
              </a:solidFill>
              <a:effectLst/>
              <a:latin typeface="+mn-lt"/>
              <a:ea typeface="+mn-ea"/>
              <a:cs typeface="+mn-cs"/>
            </a:rPr>
            <a:t> </a:t>
          </a:r>
          <a:r>
            <a:rPr lang="en-CA"/>
            <a:t> </a:t>
          </a:r>
          <a:r>
            <a:rPr lang="en-CA" sz="1100" b="1"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Optional output tables (not necessarily required for RIAS)</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Optional inputs (edits</a:t>
          </a:r>
          <a:r>
            <a:rPr lang="en-CA" sz="1100" b="0" i="0" u="none" strike="noStrike" baseline="0">
              <a:solidFill>
                <a:schemeClr val="dk1"/>
              </a:solidFill>
              <a:effectLst/>
              <a:latin typeface="+mn-lt"/>
              <a:ea typeface="+mn-ea"/>
              <a:cs typeface="+mn-cs"/>
            </a:rPr>
            <a:t> are not necessary)</a:t>
          </a:r>
          <a:endParaRPr lang="en-CA" sz="1100" b="0" i="0" u="none" strike="noStrike">
            <a:solidFill>
              <a:schemeClr val="dk1"/>
            </a:solidFill>
            <a:effectLst/>
            <a:latin typeface="+mn-lt"/>
            <a:ea typeface="+mn-ea"/>
            <a:cs typeface="+mn-cs"/>
          </a:endParaRPr>
        </a:p>
        <a:p>
          <a:pPr algn="l"/>
          <a:r>
            <a:rPr lang="en-CA" sz="1100" b="0" i="0" u="none" strike="noStrike">
              <a:solidFill>
                <a:schemeClr val="dk1"/>
              </a:solidFill>
              <a:effectLst/>
              <a:latin typeface="+mn-lt"/>
              <a:ea typeface="+mn-ea"/>
              <a:cs typeface="+mn-cs"/>
            </a:rPr>
            <a:t>       : RCC model internals (edits</a:t>
          </a:r>
          <a:r>
            <a:rPr lang="en-CA" sz="1100" b="0" i="0" u="none" strike="noStrike" baseline="0">
              <a:solidFill>
                <a:schemeClr val="dk1"/>
              </a:solidFill>
              <a:effectLst/>
              <a:latin typeface="+mn-lt"/>
              <a:ea typeface="+mn-ea"/>
              <a:cs typeface="+mn-cs"/>
            </a:rPr>
            <a:t> are not recommended</a:t>
          </a:r>
          <a:r>
            <a:rPr lang="en-CA" sz="1100" b="0" i="0" u="none" strike="noStrike">
              <a:solidFill>
                <a:schemeClr val="dk1"/>
              </a:solidFill>
              <a:effectLst/>
              <a:latin typeface="+mn-lt"/>
              <a:ea typeface="+mn-ea"/>
              <a:cs typeface="+mn-cs"/>
            </a:rPr>
            <a:t>)</a:t>
          </a:r>
          <a:r>
            <a:rPr lang="en-CA"/>
            <a:t> </a:t>
          </a:r>
          <a:r>
            <a:rPr lang="en-CA" sz="1100" b="1"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p>
        <a:p>
          <a:pPr algn="l"/>
          <a:endParaRPr lang="en-CA" sz="1100" b="1" i="0" u="none" strike="noStrike">
            <a:solidFill>
              <a:schemeClr val="dk1"/>
            </a:solidFill>
            <a:effectLst/>
            <a:latin typeface="+mn-lt"/>
            <a:ea typeface="+mn-ea"/>
            <a:cs typeface="+mn-cs"/>
          </a:endParaRPr>
        </a:p>
        <a:p>
          <a:r>
            <a:rPr lang="en-CA" sz="1100" b="1" i="0">
              <a:solidFill>
                <a:schemeClr val="dk1"/>
              </a:solidFill>
              <a:effectLst/>
              <a:latin typeface="+mn-lt"/>
              <a:ea typeface="+mn-ea"/>
              <a:cs typeface="+mn-cs"/>
            </a:rPr>
            <a:t>Step-by-step instructions:</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1: </a:t>
          </a:r>
          <a:r>
            <a:rPr lang="en-CA" sz="1100" b="0" i="0">
              <a:solidFill>
                <a:schemeClr val="dk1"/>
              </a:solidFill>
              <a:effectLst/>
              <a:latin typeface="+mn-lt"/>
              <a:ea typeface="+mn-ea"/>
              <a:cs typeface="+mn-cs"/>
            </a:rPr>
            <a:t>Enter information pertaining to the regulatory change on the 'Initiative Details' tab. </a:t>
          </a:r>
          <a:r>
            <a:rPr lang="en-CA" sz="1100">
              <a:solidFill>
                <a:schemeClr val="dk1"/>
              </a:solidFill>
              <a:effectLst/>
              <a:latin typeface="+mn-lt"/>
              <a:ea typeface="+mn-ea"/>
              <a:cs typeface="+mn-cs"/>
            </a:rPr>
            <a:t> </a:t>
          </a:r>
          <a:r>
            <a:rPr lang="en-CA" sz="1100" b="1" i="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2: </a:t>
          </a:r>
          <a:r>
            <a:rPr lang="en-CA" sz="1100" b="0" i="0">
              <a:solidFill>
                <a:schemeClr val="dk1"/>
              </a:solidFill>
              <a:effectLst/>
              <a:latin typeface="+mn-lt"/>
              <a:ea typeface="+mn-ea"/>
              <a:cs typeface="+mn-cs"/>
            </a:rPr>
            <a:t>Enter stakeholder names, counts (at the start of the analytical period), and growth rates on the 'Stakeholder Profile' tab.</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3:</a:t>
          </a:r>
          <a:r>
            <a:rPr lang="en-CA" sz="1100" b="0" i="0">
              <a:solidFill>
                <a:schemeClr val="dk1"/>
              </a:solidFill>
              <a:effectLst/>
              <a:latin typeface="+mn-lt"/>
              <a:ea typeface="+mn-ea"/>
              <a:cs typeface="+mn-cs"/>
            </a:rPr>
            <a:t> Enter the regulatory activities on the 'Activities' tab. For each regulatory requirement, specify things like:</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the start and end dates of the requirement,</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the affected</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stakeholder</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group(s) and type(s),</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monetary impacts incurred by each affected stakeholder (capital or labour),</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the annual frequency of the activity.</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4: </a:t>
          </a:r>
          <a:r>
            <a:rPr lang="en-CA" sz="1100" b="0" i="0">
              <a:solidFill>
                <a:schemeClr val="dk1"/>
              </a:solidFill>
              <a:effectLst/>
              <a:latin typeface="+mn-lt"/>
              <a:ea typeface="+mn-ea"/>
              <a:cs typeface="+mn-cs"/>
            </a:rPr>
            <a:t>Add the numerical estimates from the One-for-one and Small Business Lens tabs into the RIAS.</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5:</a:t>
          </a:r>
          <a:r>
            <a:rPr lang="en-CA" sz="1100" b="0" i="0">
              <a:solidFill>
                <a:schemeClr val="dk1"/>
              </a:solidFill>
              <a:effectLst/>
              <a:latin typeface="+mn-lt"/>
              <a:ea typeface="+mn-ea"/>
              <a:cs typeface="+mn-cs"/>
            </a:rPr>
            <a:t> Adjust the auto-generated One-for-one RIAS text, as appropriate.</a:t>
          </a:r>
          <a:r>
            <a:rPr lang="en-CA" sz="1100">
              <a:solidFill>
                <a:schemeClr val="dk1"/>
              </a:solidFill>
              <a:effectLst/>
              <a:latin typeface="+mn-lt"/>
              <a:ea typeface="+mn-ea"/>
              <a:cs typeface="+mn-cs"/>
            </a:rPr>
            <a:t> </a:t>
          </a:r>
          <a:endParaRPr lang="en-CA">
            <a:effectLst/>
          </a:endParaRPr>
        </a:p>
      </xdr:txBody>
    </xdr:sp>
    <xdr:clientData fLocksWithSheet="0" fPrintsWithSheet="0"/>
  </xdr:twoCellAnchor>
  <xdr:twoCellAnchor editAs="absolute">
    <xdr:from>
      <xdr:col>4</xdr:col>
      <xdr:colOff>880441</xdr:colOff>
      <xdr:row>9</xdr:row>
      <xdr:rowOff>121708</xdr:rowOff>
    </xdr:from>
    <xdr:to>
      <xdr:col>6</xdr:col>
      <xdr:colOff>730250</xdr:colOff>
      <xdr:row>11</xdr:row>
      <xdr:rowOff>52308</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4489358" y="1740958"/>
          <a:ext cx="1691309" cy="29043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CA" sz="1200" b="0" i="0" u="sng" strike="noStrike">
            <a:solidFill>
              <a:schemeClr val="accent1"/>
            </a:solidFill>
            <a:effectLst/>
            <a:latin typeface="+mn-lt"/>
            <a:ea typeface="+mn-ea"/>
            <a:cs typeface="+mn-cs"/>
          </a:endParaRPr>
        </a:p>
      </xdr:txBody>
    </xdr:sp>
    <xdr:clientData/>
  </xdr:twoCellAnchor>
  <xdr:twoCellAnchor editAs="absolute">
    <xdr:from>
      <xdr:col>5</xdr:col>
      <xdr:colOff>402165</xdr:colOff>
      <xdr:row>11</xdr:row>
      <xdr:rowOff>64919</xdr:rowOff>
    </xdr:from>
    <xdr:to>
      <xdr:col>7</xdr:col>
      <xdr:colOff>174623</xdr:colOff>
      <xdr:row>13</xdr:row>
      <xdr:rowOff>137583</xdr:rowOff>
    </xdr:to>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4931832" y="2044002"/>
          <a:ext cx="1926167" cy="43249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a:solidFill>
                <a:schemeClr val="accent1"/>
              </a:solidFill>
            </a:rPr>
            <a:t>        </a:t>
          </a:r>
        </a:p>
      </xdr:txBody>
    </xdr:sp>
    <xdr:clientData/>
  </xdr:twoCellAnchor>
  <xdr:twoCellAnchor editAs="absolute">
    <xdr:from>
      <xdr:col>0</xdr:col>
      <xdr:colOff>104855</xdr:colOff>
      <xdr:row>18</xdr:row>
      <xdr:rowOff>169333</xdr:rowOff>
    </xdr:from>
    <xdr:to>
      <xdr:col>4</xdr:col>
      <xdr:colOff>617827</xdr:colOff>
      <xdr:row>20</xdr:row>
      <xdr:rowOff>23117</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000-000009000000}"/>
            </a:ext>
          </a:extLst>
        </xdr:cNvPr>
        <xdr:cNvSpPr txBox="1"/>
      </xdr:nvSpPr>
      <xdr:spPr>
        <a:xfrm>
          <a:off x="104855" y="3598333"/>
          <a:ext cx="3878472" cy="23478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0" i="0" u="sng">
              <a:solidFill>
                <a:schemeClr val="accent1"/>
              </a:solidFill>
              <a:effectLst/>
              <a:latin typeface="+mn-lt"/>
              <a:ea typeface="+mn-ea"/>
              <a:cs typeface="+mn-cs"/>
            </a:rPr>
            <a:t>Guide on Limiting Regulatory Burden on Business</a:t>
          </a:r>
          <a:endParaRPr lang="en-CA" sz="1050">
            <a:solidFill>
              <a:schemeClr val="accent1"/>
            </a:solidFill>
          </a:endParaRPr>
        </a:p>
      </xdr:txBody>
    </xdr:sp>
    <xdr:clientData/>
  </xdr:twoCellAnchor>
  <xdr:twoCellAnchor editAs="absolute">
    <xdr:from>
      <xdr:col>0</xdr:col>
      <xdr:colOff>99202</xdr:colOff>
      <xdr:row>17</xdr:row>
      <xdr:rowOff>116416</xdr:rowOff>
    </xdr:from>
    <xdr:to>
      <xdr:col>4</xdr:col>
      <xdr:colOff>633321</xdr:colOff>
      <xdr:row>18</xdr:row>
      <xdr:rowOff>142967</xdr:rowOff>
    </xdr:to>
    <xdr:sp macro="" textlink="">
      <xdr:nvSpPr>
        <xdr:cNvPr id="10" name="TextBox 9">
          <a:hlinkClick xmlns:r="http://schemas.openxmlformats.org/officeDocument/2006/relationships" r:id="rId5"/>
          <a:extLst>
            <a:ext uri="{FF2B5EF4-FFF2-40B4-BE49-F238E27FC236}">
              <a16:creationId xmlns:a16="http://schemas.microsoft.com/office/drawing/2014/main" id="{00000000-0008-0000-0000-00000A000000}"/>
            </a:ext>
          </a:extLst>
        </xdr:cNvPr>
        <xdr:cNvSpPr txBox="1"/>
      </xdr:nvSpPr>
      <xdr:spPr>
        <a:xfrm>
          <a:off x="99202" y="3354916"/>
          <a:ext cx="3899619" cy="21705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0" i="0" u="sng">
              <a:solidFill>
                <a:schemeClr val="accent1"/>
              </a:solidFill>
              <a:effectLst/>
              <a:latin typeface="+mn-lt"/>
              <a:ea typeface="+mn-ea"/>
              <a:cs typeface="+mn-cs"/>
            </a:rPr>
            <a:t>Policy on Limiting Regulatory Burden on Business</a:t>
          </a:r>
          <a:endParaRPr lang="en-CA" sz="1200">
            <a:solidFill>
              <a:schemeClr val="accent1"/>
            </a:solidFill>
          </a:endParaRPr>
        </a:p>
      </xdr:txBody>
    </xdr:sp>
    <xdr:clientData/>
  </xdr:twoCellAnchor>
  <xdr:twoCellAnchor editAs="oneCell">
    <xdr:from>
      <xdr:col>8</xdr:col>
      <xdr:colOff>53022</xdr:colOff>
      <xdr:row>34</xdr:row>
      <xdr:rowOff>6877</xdr:rowOff>
    </xdr:from>
    <xdr:to>
      <xdr:col>13</xdr:col>
      <xdr:colOff>609070</xdr:colOff>
      <xdr:row>36</xdr:row>
      <xdr:rowOff>162029</xdr:rowOff>
    </xdr:to>
    <xdr:sp macro="" textlink="">
      <xdr:nvSpPr>
        <xdr:cNvPr id="20" name="Arrow: Right 19">
          <a:hlinkClick xmlns:r="http://schemas.openxmlformats.org/officeDocument/2006/relationships" r:id="rId6"/>
          <a:extLst>
            <a:ext uri="{FF2B5EF4-FFF2-40B4-BE49-F238E27FC236}">
              <a16:creationId xmlns:a16="http://schemas.microsoft.com/office/drawing/2014/main" id="{00000000-0008-0000-0000-000014000000}"/>
            </a:ext>
          </a:extLst>
        </xdr:cNvPr>
        <xdr:cNvSpPr/>
      </xdr:nvSpPr>
      <xdr:spPr>
        <a:xfrm rot="10800000" flipH="1" flipV="1">
          <a:off x="7842355" y="6124044"/>
          <a:ext cx="3783965" cy="514985"/>
        </a:xfrm>
        <a:prstGeom prst="righ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144421</xdr:colOff>
      <xdr:row>21</xdr:row>
      <xdr:rowOff>54765</xdr:rowOff>
    </xdr:from>
    <xdr:to>
      <xdr:col>0</xdr:col>
      <xdr:colOff>297229</xdr:colOff>
      <xdr:row>25</xdr:row>
      <xdr:rowOff>160582</xdr:rowOff>
    </xdr:to>
    <xdr:grpSp>
      <xdr:nvGrpSpPr>
        <xdr:cNvPr id="18" name="Group 17">
          <a:extLst>
            <a:ext uri="{FF2B5EF4-FFF2-40B4-BE49-F238E27FC236}">
              <a16:creationId xmlns:a16="http://schemas.microsoft.com/office/drawing/2014/main" id="{B5F4DCA9-8999-E29C-77CE-7A58E4EDB472}"/>
            </a:ext>
          </a:extLst>
        </xdr:cNvPr>
        <xdr:cNvGrpSpPr/>
      </xdr:nvGrpSpPr>
      <xdr:grpSpPr>
        <a:xfrm>
          <a:off x="144421" y="4055265"/>
          <a:ext cx="152808" cy="867817"/>
          <a:chOff x="133838" y="3850282"/>
          <a:chExt cx="148046" cy="848321"/>
        </a:xfrm>
      </xdr:grpSpPr>
      <xdr:sp macro="" textlink="">
        <xdr:nvSpPr>
          <xdr:cNvPr id="11" name="Oval 10">
            <a:extLst>
              <a:ext uri="{FF2B5EF4-FFF2-40B4-BE49-F238E27FC236}">
                <a16:creationId xmlns:a16="http://schemas.microsoft.com/office/drawing/2014/main" id="{00000000-0008-0000-0000-00000B000000}"/>
              </a:ext>
            </a:extLst>
          </xdr:cNvPr>
          <xdr:cNvSpPr/>
        </xdr:nvSpPr>
        <xdr:spPr>
          <a:xfrm>
            <a:off x="133838" y="3850282"/>
            <a:ext cx="144541" cy="144903"/>
          </a:xfrm>
          <a:prstGeom prst="ellipse">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2" name="Oval 11">
            <a:extLst>
              <a:ext uri="{FF2B5EF4-FFF2-40B4-BE49-F238E27FC236}">
                <a16:creationId xmlns:a16="http://schemas.microsoft.com/office/drawing/2014/main" id="{00000000-0008-0000-0000-00000C000000}"/>
              </a:ext>
            </a:extLst>
          </xdr:cNvPr>
          <xdr:cNvSpPr/>
        </xdr:nvSpPr>
        <xdr:spPr>
          <a:xfrm>
            <a:off x="137101" y="4025374"/>
            <a:ext cx="144541" cy="144903"/>
          </a:xfrm>
          <a:prstGeom prst="ellipse">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Oval 12">
            <a:extLst>
              <a:ext uri="{FF2B5EF4-FFF2-40B4-BE49-F238E27FC236}">
                <a16:creationId xmlns:a16="http://schemas.microsoft.com/office/drawing/2014/main" id="{00000000-0008-0000-0000-00000D000000}"/>
              </a:ext>
            </a:extLst>
          </xdr:cNvPr>
          <xdr:cNvSpPr/>
        </xdr:nvSpPr>
        <xdr:spPr>
          <a:xfrm>
            <a:off x="137343" y="4204037"/>
            <a:ext cx="144541" cy="144902"/>
          </a:xfrm>
          <a:prstGeom prst="ellipse">
            <a:avLst/>
          </a:prstGeom>
          <a:solidFill>
            <a:srgbClr val="F4EE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4" name="Oval 13">
            <a:extLst>
              <a:ext uri="{FF2B5EF4-FFF2-40B4-BE49-F238E27FC236}">
                <a16:creationId xmlns:a16="http://schemas.microsoft.com/office/drawing/2014/main" id="{00000000-0008-0000-0000-00000E000000}"/>
              </a:ext>
            </a:extLst>
          </xdr:cNvPr>
          <xdr:cNvSpPr/>
        </xdr:nvSpPr>
        <xdr:spPr>
          <a:xfrm>
            <a:off x="136591" y="4556141"/>
            <a:ext cx="144541" cy="142462"/>
          </a:xfrm>
          <a:prstGeom prst="ellipse">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2" name="Oval 1">
            <a:extLst>
              <a:ext uri="{FF2B5EF4-FFF2-40B4-BE49-F238E27FC236}">
                <a16:creationId xmlns:a16="http://schemas.microsoft.com/office/drawing/2014/main" id="{00000000-0008-0000-0000-000002000000}"/>
              </a:ext>
            </a:extLst>
          </xdr:cNvPr>
          <xdr:cNvSpPr/>
        </xdr:nvSpPr>
        <xdr:spPr>
          <a:xfrm>
            <a:off x="135717" y="4381391"/>
            <a:ext cx="144541" cy="142462"/>
          </a:xfrm>
          <a:prstGeom prst="ellipse">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2771350</xdr:colOff>
      <xdr:row>16</xdr:row>
      <xdr:rowOff>171716</xdr:rowOff>
    </xdr:from>
    <xdr:to>
      <xdr:col>3</xdr:col>
      <xdr:colOff>5095591</xdr:colOff>
      <xdr:row>18</xdr:row>
      <xdr:rowOff>171450</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6314968" y="4369277"/>
          <a:ext cx="2324241" cy="361473"/>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9014</xdr:colOff>
      <xdr:row>11</xdr:row>
      <xdr:rowOff>116417</xdr:rowOff>
    </xdr:from>
    <xdr:to>
      <xdr:col>2</xdr:col>
      <xdr:colOff>103663</xdr:colOff>
      <xdr:row>14</xdr:row>
      <xdr:rowOff>65299</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45097" y="1354667"/>
          <a:ext cx="2372077" cy="39243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oneCell">
    <xdr:from>
      <xdr:col>8</xdr:col>
      <xdr:colOff>808908</xdr:colOff>
      <xdr:row>11</xdr:row>
      <xdr:rowOff>105834</xdr:rowOff>
    </xdr:from>
    <xdr:to>
      <xdr:col>10</xdr:col>
      <xdr:colOff>20378</xdr:colOff>
      <xdr:row>14</xdr:row>
      <xdr:rowOff>45244</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14630741" y="1344084"/>
          <a:ext cx="2278838" cy="379148"/>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oneCell">
    <xdr:from>
      <xdr:col>4</xdr:col>
      <xdr:colOff>1286054</xdr:colOff>
      <xdr:row>12</xdr:row>
      <xdr:rowOff>88984</xdr:rowOff>
    </xdr:from>
    <xdr:to>
      <xdr:col>5</xdr:col>
      <xdr:colOff>1583308</xdr:colOff>
      <xdr:row>13</xdr:row>
      <xdr:rowOff>133126</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00000000-0008-0000-0200-000015000000}"/>
            </a:ext>
          </a:extLst>
        </xdr:cNvPr>
        <xdr:cNvSpPr/>
      </xdr:nvSpPr>
      <xdr:spPr>
        <a:xfrm rot="10800000" flipH="1" flipV="1">
          <a:off x="8239304" y="1475401"/>
          <a:ext cx="2325444" cy="201833"/>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View Annual Stakeholder Count</a:t>
          </a:r>
        </a:p>
      </xdr:txBody>
    </xdr:sp>
    <xdr:clientData/>
  </xdr:twoCellAnchor>
  <xdr:twoCellAnchor>
    <xdr:from>
      <xdr:col>1</xdr:col>
      <xdr:colOff>88476</xdr:colOff>
      <xdr:row>3</xdr:row>
      <xdr:rowOff>0</xdr:rowOff>
    </xdr:from>
    <xdr:to>
      <xdr:col>4</xdr:col>
      <xdr:colOff>595312</xdr:colOff>
      <xdr:row>7</xdr:row>
      <xdr:rowOff>105834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21914" y="511969"/>
          <a:ext cx="6626648" cy="72495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103099</xdr:colOff>
      <xdr:row>9</xdr:row>
      <xdr:rowOff>129347</xdr:rowOff>
    </xdr:from>
    <xdr:to>
      <xdr:col>3</xdr:col>
      <xdr:colOff>1416</xdr:colOff>
      <xdr:row>12</xdr:row>
      <xdr:rowOff>94622</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13664" y="1539047"/>
          <a:ext cx="2522931" cy="43200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oneCell">
    <xdr:from>
      <xdr:col>4</xdr:col>
      <xdr:colOff>211164</xdr:colOff>
      <xdr:row>10</xdr:row>
      <xdr:rowOff>88201</xdr:rowOff>
    </xdr:from>
    <xdr:to>
      <xdr:col>6</xdr:col>
      <xdr:colOff>188291</xdr:colOff>
      <xdr:row>12</xdr:row>
      <xdr:rowOff>8396</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rot="10800000" flipH="1" flipV="1">
          <a:off x="3727250" y="1644858"/>
          <a:ext cx="2160000" cy="216000"/>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oneCell">
    <xdr:from>
      <xdr:col>6</xdr:col>
      <xdr:colOff>811078</xdr:colOff>
      <xdr:row>10</xdr:row>
      <xdr:rowOff>98823</xdr:rowOff>
    </xdr:from>
    <xdr:to>
      <xdr:col>8</xdr:col>
      <xdr:colOff>639873</xdr:colOff>
      <xdr:row>12</xdr:row>
      <xdr:rowOff>921</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6630853" y="1660923"/>
          <a:ext cx="2151836" cy="202665"/>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oneCell">
    <xdr:from>
      <xdr:col>9</xdr:col>
      <xdr:colOff>260709</xdr:colOff>
      <xdr:row>10</xdr:row>
      <xdr:rowOff>96663</xdr:rowOff>
    </xdr:from>
    <xdr:to>
      <xdr:col>12</xdr:col>
      <xdr:colOff>115659</xdr:colOff>
      <xdr:row>12</xdr:row>
      <xdr:rowOff>243</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rot="10800000" flipH="1" flipV="1">
          <a:off x="9242784" y="1658763"/>
          <a:ext cx="2150475" cy="208380"/>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a:t>
          </a:r>
        </a:p>
      </xdr:txBody>
    </xdr:sp>
    <xdr:clientData/>
  </xdr:twoCellAnchor>
  <xdr:twoCellAnchor editAs="oneCell">
    <xdr:from>
      <xdr:col>13</xdr:col>
      <xdr:colOff>106888</xdr:colOff>
      <xdr:row>10</xdr:row>
      <xdr:rowOff>97508</xdr:rowOff>
    </xdr:from>
    <xdr:to>
      <xdr:col>16</xdr:col>
      <xdr:colOff>210917</xdr:colOff>
      <xdr:row>12</xdr:row>
      <xdr:rowOff>1088</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00000000-0008-0000-0300-00000D000000}"/>
            </a:ext>
          </a:extLst>
        </xdr:cNvPr>
        <xdr:cNvSpPr/>
      </xdr:nvSpPr>
      <xdr:spPr>
        <a:xfrm rot="10800000" flipH="1" flipV="1">
          <a:off x="11975038" y="1659608"/>
          <a:ext cx="2142379" cy="208380"/>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 by Activity</a:t>
          </a:r>
        </a:p>
      </xdr:txBody>
    </xdr:sp>
    <xdr:clientData/>
  </xdr:twoCellAnchor>
  <xdr:twoCellAnchor editAs="oneCell">
    <xdr:from>
      <xdr:col>17</xdr:col>
      <xdr:colOff>27011</xdr:colOff>
      <xdr:row>10</xdr:row>
      <xdr:rowOff>98631</xdr:rowOff>
    </xdr:from>
    <xdr:to>
      <xdr:col>19</xdr:col>
      <xdr:colOff>645866</xdr:colOff>
      <xdr:row>12</xdr:row>
      <xdr:rowOff>8402</xdr:rowOff>
    </xdr:to>
    <xdr:sp macro="" textlink="">
      <xdr:nvSpPr>
        <xdr:cNvPr id="14" name="Rectangle 13">
          <a:hlinkClick xmlns:r="http://schemas.openxmlformats.org/officeDocument/2006/relationships" r:id="rId6"/>
          <a:extLst>
            <a:ext uri="{FF2B5EF4-FFF2-40B4-BE49-F238E27FC236}">
              <a16:creationId xmlns:a16="http://schemas.microsoft.com/office/drawing/2014/main" id="{00000000-0008-0000-0300-00000E000000}"/>
            </a:ext>
          </a:extLst>
        </xdr:cNvPr>
        <xdr:cNvSpPr/>
      </xdr:nvSpPr>
      <xdr:spPr>
        <a:xfrm rot="10800000" flipH="1" flipV="1">
          <a:off x="14781236" y="1660731"/>
          <a:ext cx="2152380" cy="209809"/>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 by Stakeholder</a:t>
          </a:r>
        </a:p>
      </xdr:txBody>
    </xdr:sp>
    <xdr:clientData/>
  </xdr:twoCellAnchor>
  <xdr:twoCellAnchor editAs="oneCell">
    <xdr:from>
      <xdr:col>19</xdr:col>
      <xdr:colOff>1153336</xdr:colOff>
      <xdr:row>10</xdr:row>
      <xdr:rowOff>88317</xdr:rowOff>
    </xdr:from>
    <xdr:to>
      <xdr:col>20</xdr:col>
      <xdr:colOff>1085</xdr:colOff>
      <xdr:row>12</xdr:row>
      <xdr:rowOff>8512</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0300-00000F000000}"/>
            </a:ext>
          </a:extLst>
        </xdr:cNvPr>
        <xdr:cNvSpPr/>
      </xdr:nvSpPr>
      <xdr:spPr>
        <a:xfrm rot="10800000" flipH="1" flipV="1">
          <a:off x="16240936" y="1644974"/>
          <a:ext cx="2168164" cy="216000"/>
        </a:xfrm>
        <a:prstGeom prst="rect">
          <a:avLst/>
        </a:prstGeom>
        <a:solidFill>
          <a:srgbClr val="FFC0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xdr:from>
      <xdr:col>1</xdr:col>
      <xdr:colOff>34713</xdr:colOff>
      <xdr:row>3</xdr:row>
      <xdr:rowOff>68158</xdr:rowOff>
    </xdr:from>
    <xdr:to>
      <xdr:col>6</xdr:col>
      <xdr:colOff>1143001</xdr:colOff>
      <xdr:row>7</xdr:row>
      <xdr:rowOff>139490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86130" y="565575"/>
          <a:ext cx="6018954" cy="663998"/>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3497270</xdr:colOff>
      <xdr:row>10</xdr:row>
      <xdr:rowOff>46671</xdr:rowOff>
    </xdr:from>
    <xdr:to>
      <xdr:col>2</xdr:col>
      <xdr:colOff>303529</xdr:colOff>
      <xdr:row>13</xdr:row>
      <xdr:rowOff>20205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763970" y="1618296"/>
          <a:ext cx="2845109" cy="430734"/>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1094109</xdr:colOff>
      <xdr:row>10</xdr:row>
      <xdr:rowOff>59901</xdr:rowOff>
    </xdr:from>
    <xdr:to>
      <xdr:col>5</xdr:col>
      <xdr:colOff>788122</xdr:colOff>
      <xdr:row>12</xdr:row>
      <xdr:rowOff>134024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5999696" y="1554691"/>
          <a:ext cx="2366939" cy="356275"/>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42333</xdr:colOff>
      <xdr:row>3</xdr:row>
      <xdr:rowOff>42333</xdr:rowOff>
    </xdr:from>
    <xdr:to>
      <xdr:col>2</xdr:col>
      <xdr:colOff>860562</xdr:colOff>
      <xdr:row>5</xdr:row>
      <xdr:rowOff>130586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rot="10800000" flipH="1" flipV="1">
          <a:off x="656166" y="603250"/>
          <a:ext cx="2499921" cy="396228"/>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Return to</a:t>
          </a:r>
          <a:r>
            <a:rPr lang="en-CA" sz="1000" b="1" baseline="0">
              <a:solidFill>
                <a:schemeClr val="tx1"/>
              </a:solidFill>
              <a:latin typeface="Arial" panose="020B0604020202020204" pitchFamily="34" charset="0"/>
              <a:cs typeface="Arial" panose="020B0604020202020204" pitchFamily="34" charset="0"/>
            </a:rPr>
            <a:t> </a:t>
          </a:r>
          <a:r>
            <a:rPr lang="en-CA" sz="1000" b="1">
              <a:solidFill>
                <a:schemeClr val="tx1"/>
              </a:solidFill>
              <a:latin typeface="Arial" panose="020B0604020202020204" pitchFamily="34" charset="0"/>
              <a:cs typeface="Arial" panose="020B0604020202020204" pitchFamily="34" charset="0"/>
            </a:rPr>
            <a:t>Stakeholder Profile</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808989</xdr:colOff>
      <xdr:row>9</xdr:row>
      <xdr:rowOff>146051</xdr:rowOff>
    </xdr:from>
    <xdr:to>
      <xdr:col>9</xdr:col>
      <xdr:colOff>1009308</xdr:colOff>
      <xdr:row>12</xdr:row>
      <xdr:rowOff>33484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rot="10800000" flipH="1" flipV="1">
          <a:off x="8609964" y="1641476"/>
          <a:ext cx="2295819" cy="373208"/>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8</xdr:col>
      <xdr:colOff>887942</xdr:colOff>
      <xdr:row>9</xdr:row>
      <xdr:rowOff>95250</xdr:rowOff>
    </xdr:from>
    <xdr:to>
      <xdr:col>11</xdr:col>
      <xdr:colOff>65064</xdr:colOff>
      <xdr:row>11</xdr:row>
      <xdr:rowOff>144608</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rot="10800000" flipH="1" flipV="1">
          <a:off x="9736667" y="1590675"/>
          <a:ext cx="2320372" cy="373208"/>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11</xdr:col>
      <xdr:colOff>896198</xdr:colOff>
      <xdr:row>9</xdr:row>
      <xdr:rowOff>108161</xdr:rowOff>
    </xdr:from>
    <xdr:to>
      <xdr:col>14</xdr:col>
      <xdr:colOff>69298</xdr:colOff>
      <xdr:row>12</xdr:row>
      <xdr:rowOff>8718</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rot="10800000" flipH="1" flipV="1">
          <a:off x="12888173" y="1603586"/>
          <a:ext cx="2316350" cy="386332"/>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495447</xdr:colOff>
      <xdr:row>9</xdr:row>
      <xdr:rowOff>106044</xdr:rowOff>
    </xdr:from>
    <xdr:to>
      <xdr:col>15</xdr:col>
      <xdr:colOff>400171</xdr:colOff>
      <xdr:row>12</xdr:row>
      <xdr:rowOff>126340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4335272" y="1515744"/>
          <a:ext cx="2343124" cy="477496"/>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the first 3 columns only</a:t>
          </a:r>
          <a:r>
            <a:rPr lang="en-CA" sz="1000" i="1" baseline="0">
              <a:effectLst/>
              <a:latin typeface="Arial" panose="020B0604020202020204" pitchFamily="34" charset="0"/>
              <a:cs typeface="Arial" panose="020B0604020202020204" pitchFamily="34" charset="0"/>
            </a:rPr>
            <a:t>; the final column will be calculated automatically depending on the Price Year selected on the Initiative Details tab.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15876</xdr:rowOff>
    </xdr:from>
    <xdr:to>
      <xdr:col>0</xdr:col>
      <xdr:colOff>836083</xdr:colOff>
      <xdr:row>0</xdr:row>
      <xdr:rowOff>222250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9D4F7901-278A-7B3E-4C53-C17245491311}"/>
            </a:ext>
          </a:extLst>
        </xdr:cNvPr>
        <xdr:cNvSpPr txBox="1"/>
      </xdr:nvSpPr>
      <xdr:spPr>
        <a:xfrm>
          <a:off x="0" y="15876"/>
          <a:ext cx="836083" cy="206374"/>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b="1">
              <a:solidFill>
                <a:schemeClr val="bg1"/>
              </a:solidFill>
              <a:latin typeface="Arial" panose="020B0604020202020204" pitchFamily="34" charset="0"/>
              <a:cs typeface="Arial" panose="020B0604020202020204" pitchFamily="34" charset="0"/>
            </a:rPr>
            <a:t>FORMULAS</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70</xdr:col>
      <xdr:colOff>293686</xdr:colOff>
      <xdr:row>0</xdr:row>
      <xdr:rowOff>47625</xdr:rowOff>
    </xdr:from>
    <xdr:to>
      <xdr:col>72</xdr:col>
      <xdr:colOff>162718</xdr:colOff>
      <xdr:row>0</xdr:row>
      <xdr:rowOff>261937</xdr:rowOff>
    </xdr:to>
    <xdr:sp macro="" textlink="">
      <xdr:nvSpPr>
        <xdr:cNvPr id="2" name="TextBox 1">
          <a:hlinkClick xmlns:r="http://schemas.openxmlformats.org/officeDocument/2006/relationships" r:id="rId1"/>
          <a:extLst>
            <a:ext uri="{FF2B5EF4-FFF2-40B4-BE49-F238E27FC236}">
              <a16:creationId xmlns:a16="http://schemas.microsoft.com/office/drawing/2014/main" id="{EF9BDF5C-21B2-A436-E5AD-4740ECB83C83}"/>
            </a:ext>
          </a:extLst>
        </xdr:cNvPr>
        <xdr:cNvSpPr txBox="1"/>
      </xdr:nvSpPr>
      <xdr:spPr>
        <a:xfrm>
          <a:off x="112641061" y="47625"/>
          <a:ext cx="1075532" cy="214312"/>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bg1"/>
              </a:solidFill>
              <a:latin typeface="Arial" panose="020B0604020202020204" pitchFamily="34" charset="0"/>
              <a:cs typeface="Arial" panose="020B0604020202020204" pitchFamily="34" charset="0"/>
            </a:rPr>
            <a:t>FULL OUTPUT</a:t>
          </a:r>
        </a:p>
      </xdr:txBody>
    </xdr:sp>
    <xdr:clientData/>
  </xdr:twoCellAnchor>
  <xdr:twoCellAnchor>
    <xdr:from>
      <xdr:col>67</xdr:col>
      <xdr:colOff>269875</xdr:colOff>
      <xdr:row>0</xdr:row>
      <xdr:rowOff>317501</xdr:rowOff>
    </xdr:from>
    <xdr:to>
      <xdr:col>72</xdr:col>
      <xdr:colOff>571500</xdr:colOff>
      <xdr:row>0</xdr:row>
      <xdr:rowOff>904875</xdr:rowOff>
    </xdr:to>
    <xdr:sp macro="" textlink="">
      <xdr:nvSpPr>
        <xdr:cNvPr id="3" name="TextBox 2">
          <a:extLst>
            <a:ext uri="{FF2B5EF4-FFF2-40B4-BE49-F238E27FC236}">
              <a16:creationId xmlns:a16="http://schemas.microsoft.com/office/drawing/2014/main" id="{9F32F731-84FA-E4BF-F71E-C0EABFBC655F}"/>
            </a:ext>
          </a:extLst>
        </xdr:cNvPr>
        <xdr:cNvSpPr txBox="1"/>
      </xdr:nvSpPr>
      <xdr:spPr>
        <a:xfrm>
          <a:off x="114458750" y="317501"/>
          <a:ext cx="3317875" cy="5873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latin typeface="Arial" panose="020B0604020202020204" pitchFamily="34" charset="0"/>
              <a:cs typeface="Arial" panose="020B0604020202020204" pitchFamily="34" charset="0"/>
            </a:rPr>
            <a:t>Copy-paste the formulas</a:t>
          </a:r>
          <a:r>
            <a:rPr lang="en-CA" sz="1000" b="0" baseline="0">
              <a:latin typeface="Arial" panose="020B0604020202020204" pitchFamily="34" charset="0"/>
              <a:cs typeface="Arial" panose="020B0604020202020204" pitchFamily="34" charset="0"/>
            </a:rPr>
            <a:t> on the right back into the appropriate columns on the Full Output tab, if needed.</a:t>
          </a:r>
          <a:endParaRPr lang="en-CA" sz="1000" b="0">
            <a:latin typeface="Arial" panose="020B0604020202020204" pitchFamily="34" charset="0"/>
            <a:cs typeface="Arial" panose="020B0604020202020204" pitchFamily="34" charset="0"/>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16:J17" totalsRowShown="0" headerRowDxfId="85" dataDxfId="83" headerRowBorderDxfId="84" tableBorderDxfId="82" totalsRowBorderDxfId="81" headerRowCellStyle="Normal 2">
  <sortState xmlns:xlrd2="http://schemas.microsoft.com/office/spreadsheetml/2017/richdata2" ref="B16:J16">
    <sortCondition ref="B16"/>
  </sortState>
  <tableColumns count="9">
    <tableColumn id="1" xr3:uid="{920BEA18-267B-450E-A764-D1B1BCDCB6CA}" name="Stakeholder Group" dataDxfId="80" dataCellStyle="Normal 2"/>
    <tableColumn id="2" xr3:uid="{6DEF87FF-4018-4CCC-AA7B-48BB3AA83B4F}" name="Non-business Count" dataDxfId="79" dataCellStyle="Normal 2"/>
    <tableColumn id="3" xr3:uid="{C411DE19-DA82-4F13-82B7-F1B3F5C007D9}" name="Small Business Count" dataDxfId="78" dataCellStyle="Normal 2"/>
    <tableColumn id="4" xr3:uid="{2821D350-189F-488F-A5C0-B64868EE3E0B}" name="Med/Large Business Count" dataDxfId="77" dataCellStyle="Normal 2"/>
    <tableColumn id="5" xr3:uid="{BEE60A7C-1D51-4E0C-BAC8-E9A211B9898A}" name="Total Business Count" dataDxfId="76" dataCellStyle="Normal 2">
      <calculatedColumnFormula>tbl_Stakeholders[[#This Row],[Small Business Count]]+tbl_Stakeholders[[#This Row],[Med/Large Business Count]]</calculatedColumnFormula>
    </tableColumn>
    <tableColumn id="6" xr3:uid="{02F67F9E-27FC-4254-8917-E5A57077B350}" name="Total Stakeholder Count" dataDxfId="75" dataCellStyle="Normal 2">
      <calculatedColumnFormula>tbl_Stakeholders[[#This Row],[Total Business Count]]+tbl_Stakeholders[[#This Row],[Non-business Count]]</calculatedColumnFormula>
    </tableColumn>
    <tableColumn id="7" xr3:uid="{C4E5A3C2-5587-4C6A-B637-AF20A4EBC801}" name="Non-business Growth Rate" dataDxfId="74" dataCellStyle="Percent"/>
    <tableColumn id="8" xr3:uid="{AF02A1C2-038B-404C-B16D-B49AFC50CABB}" name="Small Business Growth Rate" dataDxfId="73" dataCellStyle="Percent"/>
    <tableColumn id="9" xr3:uid="{267A6211-159E-4F86-B38D-F1BD02AB00CA}" name="Med/Large Business Growth Rate" dataDxfId="72"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4:T15" totalsRowShown="0" headerRowDxfId="55" dataDxfId="54" headerRowBorderDxfId="52" tableBorderDxfId="53" totalsRowBorderDxfId="51" headerRowCellStyle="Normal 2">
  <tableColumns count="19">
    <tableColumn id="1" xr3:uid="{65A099BC-738F-4CA0-85A2-8F4C8F82D830}" name="Activity" dataDxfId="50" dataCellStyle="Normal 2"/>
    <tableColumn id="2" xr3:uid="{2BE44DDF-2D28-448F-B936-D007FFA33384}" name="Administrative or Compliance" dataDxfId="49" dataCellStyle="Normal 2"/>
    <tableColumn id="3" xr3:uid="{1C632198-DE0B-4414-8650-8FE47D525F88}" name="In or Out" dataDxfId="48" dataCellStyle="Normal 2"/>
    <tableColumn id="4" xr3:uid="{0EDBD594-8489-4C44-9D96-F1ADEEBE0DBF}" name="Upfront or  Ongoing" dataDxfId="47" dataCellStyle="Normal 2"/>
    <tableColumn id="5" xr3:uid="{D1C308E2-BA3C-4525-B8CB-F4071E802FD6}" name="Start Year" dataDxfId="46" dataCellStyle="Normal 2"/>
    <tableColumn id="6" xr3:uid="{82BC7FDD-AB9E-44E9-82B3-C61093609B04}" name="End Year" dataDxfId="45" dataCellStyle="Normal 2"/>
    <tableColumn id="7" xr3:uid="{4613A8BF-D255-4AF4-83EE-F2CF2D752A38}" name="Affected Stakeholder Group" dataDxfId="44" dataCellStyle="Normal 2"/>
    <tableColumn id="8" xr3:uid="{4175C6BD-9CF3-4684-8984-D1801FD6D257}" name="Affected Stakeholder Type" dataDxfId="43" dataCellStyle="Normal 2"/>
    <tableColumn id="9" xr3:uid="{33B2DA87-38F9-46ED-ACF6-3FA9760927BC}" name="Percent Affected" dataDxfId="42"/>
    <tableColumn id="10" xr3:uid="{AC32CBFF-0012-4E5F-91A1-8B99F21311CB}" name="Apply to Existing Stakeholders" dataDxfId="41" dataCellStyle="Normal 2"/>
    <tableColumn id="11" xr3:uid="{C4E88C80-E17E-4F3D-9241-542D27B4CAD7}" name="Apply to New Entrants" dataDxfId="40" dataCellStyle="Normal 2"/>
    <tableColumn id="15" xr3:uid="{6844A7FD-391E-4057-939F-FCF18F6AA428}" name="Capital or Labour" dataDxfId="39" dataCellStyle="Comma"/>
    <tableColumn id="16" xr3:uid="{8F229652-99DE-4253-A024-A1F323856A06}" name="Capital: Number of Units" dataDxfId="38" dataCellStyle="Comma"/>
    <tableColumn id="17" xr3:uid="{BB41C012-479C-4840-B52C-496B641DD81E}" name="Capital: Unit Price" dataDxfId="37" dataCellStyle="Comma"/>
    <tableColumn id="18" xr3:uid="{2096BA5D-7391-4C33-A6F7-3AE237FF2546}" name="Capital: Price Year of Unit Price" dataDxfId="36" dataCellStyle="Comma"/>
    <tableColumn id="23" xr3:uid="{89B86BFE-2834-4E04-B671-5056B5F05212}" name="Annual Frequency" dataDxfId="35" dataCellStyle="Comma"/>
    <tableColumn id="22" xr3:uid="{76D19E14-9CED-42BB-9591-CCB81734D9AA}" name="Labour: Time Spent (hours)" dataDxfId="34" dataCellStyle="Comma"/>
    <tableColumn id="19" xr3:uid="{8BB445B7-7287-4EE8-A17F-0EB7CB9FF0D5}" name="Labour: Internal or External Overhead" dataDxfId="33" dataCellStyle="Comma"/>
    <tableColumn id="20" xr3:uid="{115F4724-1DC1-42A9-BE39-2FFAD4403AD2}" name="Labour: Staff Level (Wage Without Overhead)" dataDxfId="32"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F66" totalsRowShown="0" headerRowDxfId="71" dataDxfId="69" headerRowBorderDxfId="70" tableBorderDxfId="68" totalsRowBorderDxfId="67">
  <tableColumns count="4">
    <tableColumn id="1" xr3:uid="{20F5CDDD-338E-4621-9904-10A5A545C74E}" name="National Occupational Classification (NOC)" dataDxfId="66" dataCellStyle="Normal 2"/>
    <tableColumn id="2" xr3:uid="{D3390B37-54E8-41B2-AC1F-321DA8D5332A}" name="Price year of data source" dataDxfId="65" dataCellStyle="Normal 2"/>
    <tableColumn id="3" xr3:uid="{EDB81478-1C17-4622-92A5-1E9119F79F9B}" name="Wage in price year of data source (without overhead)" dataDxfId="64" dataCellStyle="Normal 2"/>
    <tableColumn id="4" xr3:uid="{9DE1072A-507C-4161-BC2C-B4FE4E367175}" name="Wage in price year of analysis (without overhead)" dataDxfId="63">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6" tableType="queryTable" totalsRowShown="0" headerRowDxfId="62" dataDxfId="60" headerRowBorderDxfId="61" tableBorderDxfId="59" totalsRowBorderDxfId="58">
  <tableColumns count="2">
    <tableColumn id="3" xr3:uid="{DA62A898-12CF-4A60-9FEB-00B4385E3C16}" uniqueName="3" name="Year" queryTableFieldId="3" dataDxfId="57"/>
    <tableColumn id="4" xr3:uid="{268D9651-8A8A-453A-AE71-8F05FF58D1B0}" uniqueName="4" name="Index" queryTableFieldId="4" dataDxfId="5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150.statcan.gc.ca/t1/tbl1/en/tv.action?pid=1410034001" TargetMode="Externa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150.statcan.gc.ca/t1/tbl1/en/tv.action?pid=1810000501" TargetMode="External"/><Relationship Id="rId4"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CF2E-FE4E-46B3-85F0-36F58E1AFCE7}">
  <sheetPr codeName="Sheet1">
    <tabColor theme="0"/>
  </sheetPr>
  <dimension ref="A1"/>
  <sheetViews>
    <sheetView showGridLines="0" tabSelected="1" zoomScaleNormal="100" workbookViewId="0"/>
  </sheetViews>
  <sheetFormatPr defaultRowHeight="15" x14ac:dyDescent="0.25"/>
  <cols>
    <col min="1" max="2" width="12.42578125" customWidth="1"/>
    <col min="3" max="6" width="12.85546875" customWidth="1"/>
    <col min="7" max="7" width="17.28515625" customWidth="1"/>
    <col min="8" max="8" width="15.140625" customWidth="1"/>
  </cols>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B0F0"/>
  </sheetPr>
  <dimension ref="C2:D16"/>
  <sheetViews>
    <sheetView showGridLines="0" zoomScaleNormal="100" workbookViewId="0">
      <selection activeCell="D5" sqref="D5"/>
    </sheetView>
  </sheetViews>
  <sheetFormatPr defaultRowHeight="15" x14ac:dyDescent="0.25"/>
  <cols>
    <col min="1" max="1" width="3" customWidth="1"/>
    <col min="2" max="2" width="3.42578125" customWidth="1"/>
    <col min="3" max="3" width="45.28515625" customWidth="1"/>
    <col min="4" max="4" width="80" customWidth="1"/>
  </cols>
  <sheetData>
    <row r="2" spans="3:4" ht="15.75" x14ac:dyDescent="0.25">
      <c r="C2" s="12" t="s">
        <v>0</v>
      </c>
    </row>
    <row r="4" spans="3:4" x14ac:dyDescent="0.25">
      <c r="C4" s="29"/>
      <c r="D4" s="30"/>
    </row>
    <row r="5" spans="3:4" ht="31.5" customHeight="1" x14ac:dyDescent="0.25">
      <c r="C5" s="26" t="s">
        <v>1</v>
      </c>
      <c r="D5" s="23"/>
    </row>
    <row r="6" spans="3:4" x14ac:dyDescent="0.25">
      <c r="C6" s="26" t="s">
        <v>2</v>
      </c>
      <c r="D6" s="23" t="s">
        <v>3</v>
      </c>
    </row>
    <row r="7" spans="3:4" ht="31.5" customHeight="1" x14ac:dyDescent="0.25">
      <c r="C7" s="26" t="s">
        <v>4</v>
      </c>
      <c r="D7" s="23"/>
    </row>
    <row r="8" spans="3:4" ht="79.5" customHeight="1" x14ac:dyDescent="0.25">
      <c r="C8" s="27" t="s">
        <v>5</v>
      </c>
      <c r="D8" s="24"/>
    </row>
    <row r="9" spans="3:4" x14ac:dyDescent="0.25">
      <c r="C9" s="27" t="s">
        <v>6</v>
      </c>
      <c r="D9" s="53">
        <v>0</v>
      </c>
    </row>
    <row r="10" spans="3:4" x14ac:dyDescent="0.25">
      <c r="C10" s="27" t="s">
        <v>7</v>
      </c>
      <c r="D10" s="53" cm="1">
        <f t="array" ref="D10">Introduced_Formula</f>
        <v>0</v>
      </c>
    </row>
    <row r="11" spans="3:4" x14ac:dyDescent="0.25">
      <c r="C11" s="27" t="s">
        <v>8</v>
      </c>
      <c r="D11" s="23">
        <v>2023</v>
      </c>
    </row>
    <row r="12" spans="3:4" x14ac:dyDescent="0.25">
      <c r="C12" s="27" t="s">
        <v>9</v>
      </c>
      <c r="D12" s="23">
        <v>2024</v>
      </c>
    </row>
    <row r="13" spans="3:4" x14ac:dyDescent="0.25">
      <c r="C13" s="27" t="s">
        <v>10</v>
      </c>
      <c r="D13" s="23">
        <v>2024</v>
      </c>
    </row>
    <row r="14" spans="3:4" x14ac:dyDescent="0.25">
      <c r="C14" s="27" t="s">
        <v>11</v>
      </c>
      <c r="D14" s="23">
        <v>10</v>
      </c>
    </row>
    <row r="15" spans="3:4" x14ac:dyDescent="0.25">
      <c r="C15" s="28" t="s">
        <v>12</v>
      </c>
      <c r="D15" s="25">
        <v>7.0000000000000007E-2</v>
      </c>
    </row>
    <row r="16" spans="3:4" x14ac:dyDescent="0.25">
      <c r="D16" s="33" t="s">
        <v>13</v>
      </c>
    </row>
  </sheetData>
  <protectedRanges>
    <protectedRange password="CC6C" sqref="D6:D7" name="Range1_5"/>
    <protectedRange password="CC6C" sqref="D5" name="Range1_1_1_1"/>
    <protectedRange password="CC6C" sqref="D8" name="Range1_4_1_1"/>
  </protectedRanges>
  <phoneticPr fontId="3" type="noConversion"/>
  <conditionalFormatting sqref="D9">
    <cfRule type="expression" dxfId="31" priority="1">
      <formula>OR($D$6="Multiple Repeal and Replace (One New title)", $D$6="Repeal and Replace", $D$6="Repeal Only")</formula>
    </cfRule>
  </conditionalFormatting>
  <dataValidations xWindow="1240" yWindow="915" count="1">
    <dataValidation type="whole" allowBlank="1" showInputMessage="1" showErrorMessage="1" prompt="If no regulations are being repealed, leave this blank." sqref="D10" xr:uid="{5E382825-B765-448E-9B6A-2FF1AFD996A0}">
      <formula1>0</formula1>
      <formula2>10^6</formula2>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D12</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D13</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D14</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D15</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D11</xm:sqref>
        </x14:dataValidation>
        <x14:dataValidation type="list" allowBlank="1" showInputMessage="1" showErrorMessage="1" xr:uid="{E84C42EB-6E3A-47D6-82F2-0516BE5213EC}">
          <x14:formula1>
            <xm:f>Controls!$P$22:$P$26</xm:f>
          </x14:formula1>
          <xm:sqref>D6</xm:sqref>
        </x14:dataValidation>
        <x14:dataValidation type="list" showInputMessage="1" showErrorMessage="1" xr:uid="{503CBD6B-F650-450F-B1E0-C02162334656}">
          <x14:formula1>
            <xm:f>IF(D6=Controls!P22,List_Amendment_Repeal,IF(D6=Controls!P23,List_New_Regulation_Repeal,IF(D6=Controls!P24,List_Repeal_Only,(IF(D6=Controls!P25,List_Repeal_and_Replace_Repeal,TenCount)))))</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B0F0"/>
  </sheetPr>
  <dimension ref="A2:J18"/>
  <sheetViews>
    <sheetView showGridLines="0" zoomScaleNormal="100" workbookViewId="0">
      <selection activeCell="B17" sqref="B17"/>
    </sheetView>
  </sheetViews>
  <sheetFormatPr defaultColWidth="9.140625" defaultRowHeight="12" x14ac:dyDescent="0.25"/>
  <cols>
    <col min="1" max="1" width="12.28515625" style="179" customWidth="1"/>
    <col min="2" max="2" width="34.28515625" style="74" customWidth="1"/>
    <col min="3" max="3" width="28.85546875" style="74" customWidth="1"/>
    <col min="4" max="4" width="28.5703125" style="74" customWidth="1"/>
    <col min="5" max="5" width="30.42578125" style="74" customWidth="1"/>
    <col min="6" max="7" width="25.85546875" style="74" customWidth="1"/>
    <col min="8" max="8" width="20.85546875" style="74" customWidth="1"/>
    <col min="9" max="9" width="22.5703125" style="74" customWidth="1"/>
    <col min="10" max="10" width="23.7109375" style="74" customWidth="1"/>
    <col min="11" max="16384" width="9.140625" style="74"/>
  </cols>
  <sheetData>
    <row r="2" spans="1:10" ht="15.75" x14ac:dyDescent="0.25">
      <c r="B2" s="12" t="s">
        <v>14</v>
      </c>
    </row>
    <row r="3" spans="1:10" x14ac:dyDescent="0.25">
      <c r="B3" s="71"/>
    </row>
    <row r="4" spans="1:10" x14ac:dyDescent="0.25">
      <c r="B4" s="71"/>
    </row>
    <row r="5" spans="1:10" x14ac:dyDescent="0.2">
      <c r="B5" s="16"/>
      <c r="C5" s="16"/>
    </row>
    <row r="6" spans="1:10" x14ac:dyDescent="0.2">
      <c r="B6" s="16"/>
      <c r="C6" s="16"/>
    </row>
    <row r="7" spans="1:10" x14ac:dyDescent="0.2">
      <c r="B7" s="16"/>
      <c r="C7" s="16"/>
    </row>
    <row r="8" spans="1:10" x14ac:dyDescent="0.2">
      <c r="B8" s="16"/>
      <c r="C8" s="16"/>
    </row>
    <row r="9" spans="1:10" x14ac:dyDescent="0.2">
      <c r="B9" s="16"/>
      <c r="C9" s="16"/>
    </row>
    <row r="10" spans="1:10" x14ac:dyDescent="0.2">
      <c r="B10" s="16"/>
      <c r="C10" s="16"/>
    </row>
    <row r="11" spans="1:10" x14ac:dyDescent="0.2">
      <c r="B11" s="16"/>
      <c r="C11" s="16"/>
    </row>
    <row r="12" spans="1:10" x14ac:dyDescent="0.2">
      <c r="B12" s="16"/>
      <c r="C12" s="16"/>
    </row>
    <row r="13" spans="1:10" x14ac:dyDescent="0.2">
      <c r="B13" s="16"/>
      <c r="C13" s="16"/>
    </row>
    <row r="14" spans="1:10" x14ac:dyDescent="0.2">
      <c r="B14" s="16"/>
      <c r="C14" s="16"/>
    </row>
    <row r="15" spans="1:10" x14ac:dyDescent="0.2">
      <c r="B15" s="72"/>
    </row>
    <row r="16" spans="1:10" ht="39.75" customHeight="1" x14ac:dyDescent="0.25">
      <c r="A16" s="179" t="str" cm="1">
        <f t="array" ref="A16:A18">TypeHere_Stakeholders</f>
        <v/>
      </c>
      <c r="B16" s="54" t="s">
        <v>15</v>
      </c>
      <c r="C16" s="55" t="s">
        <v>16</v>
      </c>
      <c r="D16" s="55" t="s">
        <v>17</v>
      </c>
      <c r="E16" s="55" t="s">
        <v>18</v>
      </c>
      <c r="F16" s="55" t="s">
        <v>19</v>
      </c>
      <c r="G16" s="55" t="s">
        <v>20</v>
      </c>
      <c r="H16" s="55" t="s">
        <v>21</v>
      </c>
      <c r="I16" s="55" t="s">
        <v>22</v>
      </c>
      <c r="J16" s="57" t="s">
        <v>23</v>
      </c>
    </row>
    <row r="17" spans="1:10" x14ac:dyDescent="0.25">
      <c r="A17" s="179" t="str">
        <v>Type Here ⮚</v>
      </c>
      <c r="B17" s="58"/>
      <c r="C17" s="59"/>
      <c r="D17" s="59"/>
      <c r="E17" s="59"/>
      <c r="F17" s="73">
        <f>tbl_Stakeholders[[#This Row],[Small Business Count]]+tbl_Stakeholders[[#This Row],[Med/Large Business Count]]</f>
        <v>0</v>
      </c>
      <c r="G17" s="73">
        <f>tbl_Stakeholders[[#This Row],[Total Business Count]]+tbl_Stakeholders[[#This Row],[Non-business Count]]</f>
        <v>0</v>
      </c>
      <c r="H17" s="150"/>
      <c r="I17" s="150"/>
      <c r="J17" s="150"/>
    </row>
    <row r="18" spans="1:10" x14ac:dyDescent="0.25">
      <c r="A18" s="179" t="str">
        <v/>
      </c>
    </row>
  </sheetData>
  <dataValidations count="2">
    <dataValidation type="decimal" allowBlank="1" showInputMessage="1" showErrorMessage="1" sqref="H17" xr:uid="{FC001DF2-60A0-4AD8-8652-146EA747ABE4}">
      <formula1>-0.99</formula1>
      <formula2>1</formula2>
    </dataValidation>
    <dataValidation allowBlank="1" showInputMessage="1" showErrorMessage="1" prompt="Use a unique name for each stakeholder group." sqref="B17" xr:uid="{701BCC3B-E461-4FB3-83D3-4549C0ADC67D}"/>
  </dataValidations>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B0F0"/>
    <pageSetUpPr autoPageBreaks="0"/>
  </sheetPr>
  <dimension ref="A2:U16"/>
  <sheetViews>
    <sheetView showGridLines="0" zoomScale="90" zoomScaleNormal="90" zoomScaleSheetLayoutView="50" workbookViewId="0">
      <selection activeCell="B14" sqref="B14"/>
    </sheetView>
  </sheetViews>
  <sheetFormatPr defaultColWidth="9.140625" defaultRowHeight="12" outlineLevelCol="1" x14ac:dyDescent="0.2"/>
  <cols>
    <col min="1" max="1" width="11.28515625" style="13" customWidth="1" outlineLevel="1"/>
    <col min="2" max="2" width="23.140625" style="38" customWidth="1"/>
    <col min="3" max="3" width="15.7109375" style="38" customWidth="1"/>
    <col min="4" max="4" width="4.7109375" style="38" customWidth="1"/>
    <col min="5" max="5" width="10.140625" style="38" customWidth="1"/>
    <col min="6" max="6" width="21.85546875" style="38" customWidth="1"/>
    <col min="7" max="7" width="20.5703125" style="38" customWidth="1"/>
    <col min="8" max="8" width="13.140625" style="38" customWidth="1"/>
    <col min="9" max="9" width="13.42578125" style="38" customWidth="1"/>
    <col min="10" max="10" width="10.140625" style="38" customWidth="1"/>
    <col min="11" max="11" width="14" style="38" customWidth="1"/>
    <col min="12" max="12" width="9.28515625" style="38" customWidth="1"/>
    <col min="13" max="14" width="8.7109375" style="38" customWidth="1"/>
    <col min="15" max="15" width="9.5703125" style="38" customWidth="1"/>
    <col min="16" max="16" width="11.7109375" style="38" customWidth="1"/>
    <col min="17" max="17" width="12.140625" style="38" customWidth="1"/>
    <col min="18" max="18" width="10" style="38" customWidth="1"/>
    <col min="19" max="19" width="12.28515625" style="38" customWidth="1"/>
    <col min="20" max="20" width="48.7109375" style="38" customWidth="1"/>
    <col min="21" max="21" width="77.5703125" style="47" customWidth="1"/>
    <col min="22" max="16384" width="9.140625" style="38"/>
  </cols>
  <sheetData>
    <row r="2" spans="1:21" ht="15.75" x14ac:dyDescent="0.25">
      <c r="B2" s="39" t="s">
        <v>24</v>
      </c>
      <c r="N2" s="61"/>
    </row>
    <row r="3" spans="1:21" x14ac:dyDescent="0.2">
      <c r="B3" s="40"/>
      <c r="N3" s="61"/>
    </row>
    <row r="4" spans="1:21" x14ac:dyDescent="0.2">
      <c r="B4" s="40"/>
      <c r="N4" s="61"/>
    </row>
    <row r="5" spans="1:21" x14ac:dyDescent="0.2">
      <c r="N5" s="61"/>
      <c r="T5" s="60"/>
    </row>
    <row r="6" spans="1:21" x14ac:dyDescent="0.2">
      <c r="N6" s="61"/>
      <c r="T6" s="60"/>
    </row>
    <row r="7" spans="1:21" x14ac:dyDescent="0.2">
      <c r="N7" s="61"/>
      <c r="T7" s="60"/>
    </row>
    <row r="8" spans="1:21" x14ac:dyDescent="0.2">
      <c r="N8" s="61"/>
      <c r="T8" s="60"/>
    </row>
    <row r="9" spans="1:21" x14ac:dyDescent="0.2">
      <c r="N9" s="61"/>
      <c r="T9" s="60"/>
    </row>
    <row r="10" spans="1:21" x14ac:dyDescent="0.2">
      <c r="N10" s="61"/>
      <c r="T10" s="60"/>
    </row>
    <row r="11" spans="1:21" x14ac:dyDescent="0.2">
      <c r="N11" s="61"/>
      <c r="T11" s="60"/>
    </row>
    <row r="12" spans="1:21" x14ac:dyDescent="0.2">
      <c r="N12" s="61"/>
      <c r="T12" s="60"/>
    </row>
    <row r="13" spans="1:21" x14ac:dyDescent="0.2">
      <c r="B13" s="62"/>
      <c r="N13" s="61"/>
      <c r="T13" s="60"/>
    </row>
    <row r="14" spans="1:21" ht="54" customHeight="1" x14ac:dyDescent="0.2">
      <c r="A14" s="146" t="str" cm="1">
        <f t="array" ref="A14:A16">TypeHere_Activities</f>
        <v/>
      </c>
      <c r="B14" s="54" t="s">
        <v>25</v>
      </c>
      <c r="C14" s="55" t="s">
        <v>26</v>
      </c>
      <c r="D14" s="55" t="s">
        <v>27</v>
      </c>
      <c r="E14" s="55" t="s">
        <v>28</v>
      </c>
      <c r="F14" s="55" t="s">
        <v>29</v>
      </c>
      <c r="G14" s="55" t="s">
        <v>30</v>
      </c>
      <c r="H14" s="55" t="s">
        <v>31</v>
      </c>
      <c r="I14" s="55" t="s">
        <v>32</v>
      </c>
      <c r="J14" s="56" t="s">
        <v>33</v>
      </c>
      <c r="K14" s="55" t="s">
        <v>34</v>
      </c>
      <c r="L14" s="55" t="s">
        <v>35</v>
      </c>
      <c r="M14" s="55" t="s">
        <v>36</v>
      </c>
      <c r="N14" s="55" t="s">
        <v>37</v>
      </c>
      <c r="O14" s="55" t="s">
        <v>38</v>
      </c>
      <c r="P14" s="55" t="s">
        <v>39</v>
      </c>
      <c r="Q14" s="55" t="s">
        <v>40</v>
      </c>
      <c r="R14" s="55" t="s">
        <v>41</v>
      </c>
      <c r="S14" s="55" t="s">
        <v>42</v>
      </c>
      <c r="T14" s="57" t="s">
        <v>43</v>
      </c>
      <c r="U14" s="175"/>
    </row>
    <row r="15" spans="1:21" ht="24" x14ac:dyDescent="0.2">
      <c r="A15" s="13" t="str">
        <v>Type Here ⮚</v>
      </c>
      <c r="B15" s="170"/>
      <c r="C15" s="167"/>
      <c r="D15" s="167"/>
      <c r="E15" s="167"/>
      <c r="F15" s="168"/>
      <c r="G15" s="168"/>
      <c r="H15" s="167"/>
      <c r="I15" s="167"/>
      <c r="J15" s="169"/>
      <c r="K15" s="167"/>
      <c r="L15" s="167"/>
      <c r="M15" s="158"/>
      <c r="N15" s="159"/>
      <c r="O15" s="160"/>
      <c r="P15" s="159"/>
      <c r="Q15" s="165"/>
      <c r="R15" s="161"/>
      <c r="S15" s="158"/>
      <c r="T15" s="162"/>
      <c r="U15" s="47" t="str" cm="1">
        <f t="array" ref="U15">IF(Checkblank=0, "One or more key parameter is missing for this activity. ", "")
&amp;IF(CheckAppliesToNoone=1, "This activity does not apply to existing stakeholders or new entrants. ", "")
&amp;IF(CheckNonBusiness=1, "All Non-Businesses were selected as the Affected Stakeholder Type, but there are no non-businesses for the Affected Stakeholder Group that has been selected. ", "")
&amp;IF(CheckSmall=1, "Small businesses were selected as the Affected Stakeholder Type, but there are no small businesses for the Affected Stakeholder Group that has been selected. ", "")
&amp;IF(CheckMedLarge=1, "Med/large businesses were selected as the Affected Stakeholder Type, but there are no med/large businesses for the Affected Stakeholder Group that has been selected. ", "")
&amp;IF(CheckStakeholders=0, "This stakeholder cannot be found on the 'Stakeholder Profile' tab. Re-select a stakeholder group from the drop-down menu. ", "")
&amp;IF(CheckStartEnd=1, "The start year is after the end year. ", "")
&amp;IF(CheckAdminCapital=1, "This activity is related to capital, so it should probably be classified as a compliance activity (not administrative). ", "")
&amp;IF(CheckUpfrontFreq=1, "Upfront activities are always modelled using a frequency of 1, so if you want to use a different frequency, consider using an ongoing activity. ", "")
&amp;IF(CheckWages=1, "Impact estimates use the updated wage on the Labour tab, which is not reflected here (re-select the wage to update this row). ", "")</f>
        <v xml:space="preserve">One or more key parameter is missing for this activity. This activity does not apply to existing stakeholders or new entrants. </v>
      </c>
    </row>
    <row r="16" spans="1:21" x14ac:dyDescent="0.2">
      <c r="A16" s="13" t="str">
        <v/>
      </c>
    </row>
  </sheetData>
  <phoneticPr fontId="3" type="noConversion"/>
  <conditionalFormatting sqref="N15:P15">
    <cfRule type="expression" dxfId="30" priority="2">
      <formula>$M15="Capital"</formula>
    </cfRule>
  </conditionalFormatting>
  <conditionalFormatting sqref="R15:T15">
    <cfRule type="expression" dxfId="29" priority="1">
      <formula>$M15="Capital"</formula>
    </cfRule>
  </conditionalFormatting>
  <conditionalFormatting sqref="U15:U943">
    <cfRule type="notContainsBlanks" dxfId="28" priority="164">
      <formula>LEN(TRIM(U15))&gt;0</formula>
    </cfRule>
  </conditionalFormatting>
  <dataValidations xWindow="190" yWindow="821" count="8">
    <dataValidation type="list" allowBlank="1" showInputMessage="1" showErrorMessage="1" sqref="E15" xr:uid="{10EB447A-7356-4D95-8F03-93CED0476542}">
      <formula1>"Upfront, Ongoing"</formula1>
    </dataValidation>
    <dataValidation type="list" allowBlank="1" showInputMessage="1" showErrorMessage="1" prompt="For the small business lens, OUTs are reported as Benefits and INs are reported as Costs. " sqref="D15" xr:uid="{7DF99CAC-C3E2-4152-B484-588A5EFD50BC}">
      <formula1>"In, Out"</formula1>
    </dataValidation>
    <dataValidation type="list" allowBlank="1" showInputMessage="1" showErrorMessage="1" sqref="C15" xr:uid="{6D18D606-7EB3-45EC-B5F4-7651F91E3AAD}">
      <formula1>"Administrative, Compliance"</formula1>
    </dataValidation>
    <dataValidation type="list" allowBlank="1" showInputMessage="1" showErrorMessage="1" sqref="I15" xr:uid="{073C2485-0069-42BF-8516-8E53D6673F35}">
      <formula1>"Small Businesses, Med/Large Businesses, All Businesses, All Non-Businesses, All Types"</formula1>
    </dataValidation>
    <dataValidation type="list" allowBlank="1" showInputMessage="1" showErrorMessage="1" prompt="Administrative activities can only involve labour._x000a_Compliance activities can involve capital or labour. " sqref="M15" xr:uid="{8052E660-D0A7-40D3-9C45-B4D4B63A3870}">
      <formula1>"Capital, Labour"</formula1>
    </dataValidation>
    <dataValidation type="list" allowBlank="1" showInputMessage="1" showErrorMessage="1" sqref="K15:L15" xr:uid="{DAD4D4F3-8788-4BC7-B203-F891E6F59D13}">
      <formula1>"TRUE, FALSE"</formula1>
    </dataValidation>
    <dataValidation type="decimal" allowBlank="1" showInputMessage="1" showErrorMessage="1" sqref="J15" xr:uid="{5997C597-FBC5-46E8-BA67-C1A0470B6A4E}">
      <formula1>0</formula1>
      <formula2>1</formula2>
    </dataValidation>
    <dataValidation type="list" allowBlank="1" showInputMessage="1" showErrorMessage="1" prompt="If this column is blank, no overhead will be added to the wage." sqref="S15" xr:uid="{15BDCB30-5FC1-4659-921B-BB506475DB2B}">
      <formula1>"Internal (25%), External (50%)"</formula1>
    </dataValidation>
  </dataValidations>
  <pageMargins left="0.7" right="0.7" top="0.75" bottom="0.75" header="0.3" footer="0.3"/>
  <pageSetup orientation="portrait" horizontalDpi="90" verticalDpi="90" r:id="rId1"/>
  <drawing r:id="rId2"/>
  <tableParts count="1">
    <tablePart r:id="rId3"/>
  </tableParts>
  <extLst>
    <ext xmlns:x14="http://schemas.microsoft.com/office/spreadsheetml/2009/9/main" uri="{CCE6A557-97BC-4b89-ADB6-D9C93CAAB3DF}">
      <x14:dataValidations xmlns:xm="http://schemas.microsoft.com/office/excel/2006/main" xWindow="190" yWindow="821" count="5">
        <x14:dataValidation type="list" allowBlank="1" showInputMessage="1" showErrorMessage="1" xr:uid="{8C4F9113-03F2-44B8-BCA3-3E9A36D16129}">
          <x14:formula1>
            <xm:f>_xlfn.ANCHORARRAY(Controls!$B$2)</xm:f>
          </x14:formula1>
          <xm:sqref>H15</xm:sqref>
        </x14:dataValidation>
        <x14:dataValidation type="list" allowBlank="1" showInputMessage="1" showErrorMessage="1" xr:uid="{DB17DD4F-D3F5-4C1D-AD86-B0968D6AAD89}">
          <x14:formula1>
            <xm:f>_xlfn.ANCHORARRAY(Controls!$F$2)</xm:f>
          </x14:formula1>
          <xm:sqref>P15</xm:sqref>
        </x14:dataValidation>
        <x14:dataValidation type="list" allowBlank="1" showInputMessage="1" prompt="Enter custom wages on Labour tab, then they will appear in this list." xr:uid="{7A852EC0-CCC4-4D21-ADA8-780D123360F9}">
          <x14:formula1>
            <xm:f>_xlfn.ANCHORARRAY(Controls!$I$2)</xm:f>
          </x14:formula1>
          <xm:sqref>T15</xm:sqref>
        </x14:dataValidation>
        <x14:dataValidation type="list" allowBlank="1" showInputMessage="1" showErrorMessage="1" prompt="Choose a value less than or equal to the End Year of this activity" xr:uid="{6D6570A0-D7E6-471C-8E4A-F47512768C63}">
          <x14:formula1>
            <xm:f>_xlfn.ANCHORARRAY(Controls!$G$2)</xm:f>
          </x14:formula1>
          <xm:sqref>F15</xm:sqref>
        </x14:dataValidation>
        <x14:dataValidation type="list" allowBlank="1" showInputMessage="1" showErrorMessage="1" prompt="Choose a value greater than or equal to the Start Year of this activity" xr:uid="{2C84FDB9-177E-4EF1-8D45-36DBB7C69749}">
          <x14:formula1>
            <xm:f>_xlfn.ANCHORARRAY(Controls!$G$2)</xm:f>
          </x14:formula1>
          <xm:sqref>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92D050"/>
  </sheetPr>
  <dimension ref="B2:N47"/>
  <sheetViews>
    <sheetView showGridLines="0" zoomScaleNormal="100" workbookViewId="0">
      <selection activeCell="C17" sqref="C17"/>
    </sheetView>
  </sheetViews>
  <sheetFormatPr defaultColWidth="9.140625" defaultRowHeight="12" x14ac:dyDescent="0.2"/>
  <cols>
    <col min="1" max="1" width="4" style="16" customWidth="1"/>
    <col min="2" max="2" width="90.5703125" style="22" customWidth="1"/>
    <col min="3" max="14" width="15.85546875" style="16" customWidth="1"/>
    <col min="15" max="15" width="16.140625" style="16" customWidth="1"/>
    <col min="16" max="16" width="19.5703125" style="16" customWidth="1"/>
    <col min="17" max="16384" width="9.140625" style="16"/>
  </cols>
  <sheetData>
    <row r="2" spans="2:3" ht="15.75" x14ac:dyDescent="0.25">
      <c r="B2" s="39" t="s">
        <v>45</v>
      </c>
    </row>
    <row r="3" spans="2:3" x14ac:dyDescent="0.2">
      <c r="B3" s="40"/>
    </row>
    <row r="4" spans="2:3" x14ac:dyDescent="0.2">
      <c r="B4" s="40"/>
    </row>
    <row r="5" spans="2:3" x14ac:dyDescent="0.2">
      <c r="B5" s="34" t="s">
        <v>46</v>
      </c>
    </row>
    <row r="6" spans="2:3" x14ac:dyDescent="0.2">
      <c r="B6" s="122" t="s">
        <v>47</v>
      </c>
      <c r="C6" s="123">
        <f>SUM(tbl_Stakeholders[Total Business Count])</f>
        <v>0</v>
      </c>
    </row>
    <row r="7" spans="2:3" x14ac:dyDescent="0.2">
      <c r="B7" s="124" t="s">
        <v>48</v>
      </c>
      <c r="C7" s="125" t="str">
        <f>"10 ("&amp;YearOfRegistration&amp;" to "&amp;YearOfRegistration+10-1&amp;")"</f>
        <v>10 (2024 to 2033)</v>
      </c>
    </row>
    <row r="8" spans="2:3" x14ac:dyDescent="0.2">
      <c r="B8" s="124" t="s">
        <v>49</v>
      </c>
      <c r="C8" s="125">
        <v>2012</v>
      </c>
    </row>
    <row r="9" spans="2:3" x14ac:dyDescent="0.2">
      <c r="B9" s="124" t="s">
        <v>50</v>
      </c>
      <c r="C9" s="126">
        <v>7.0000000000000007E-2</v>
      </c>
    </row>
    <row r="10" spans="2:3" x14ac:dyDescent="0.2">
      <c r="B10" s="127" t="s">
        <v>51</v>
      </c>
      <c r="C10" s="128">
        <v>2012</v>
      </c>
    </row>
    <row r="11" spans="2:3" x14ac:dyDescent="0.2">
      <c r="B11" s="41"/>
      <c r="C11" s="35"/>
    </row>
    <row r="12" spans="2:3" x14ac:dyDescent="0.2">
      <c r="B12" s="41"/>
      <c r="C12" s="35"/>
    </row>
    <row r="13" spans="2:3" x14ac:dyDescent="0.2">
      <c r="B13" s="41"/>
      <c r="C13" s="35"/>
    </row>
    <row r="14" spans="2:3" x14ac:dyDescent="0.2">
      <c r="B14" s="34" t="s">
        <v>52</v>
      </c>
      <c r="C14" s="35"/>
    </row>
    <row r="15" spans="2:3" x14ac:dyDescent="0.2">
      <c r="B15" s="75" t="s">
        <v>53</v>
      </c>
      <c r="C15" s="78">
        <f>$M$47</f>
        <v>0</v>
      </c>
    </row>
    <row r="16" spans="2:3" x14ac:dyDescent="0.2">
      <c r="B16" s="76" t="s">
        <v>54</v>
      </c>
      <c r="C16" s="79">
        <f>IFERROR($C$15/$C$6, 0)</f>
        <v>0</v>
      </c>
    </row>
    <row r="17" spans="2:14" x14ac:dyDescent="0.2">
      <c r="B17" s="76" t="s">
        <v>55</v>
      </c>
      <c r="C17" s="171">
        <f>$C$15*AF_7_10</f>
        <v>0</v>
      </c>
    </row>
    <row r="18" spans="2:14" x14ac:dyDescent="0.2">
      <c r="B18" s="77" t="s">
        <v>56</v>
      </c>
      <c r="C18" s="80">
        <f>IFERROR($C$17/$C$6, 0)</f>
        <v>0</v>
      </c>
    </row>
    <row r="19" spans="2:14" x14ac:dyDescent="0.2">
      <c r="B19" s="36" t="s">
        <v>57</v>
      </c>
    </row>
    <row r="20" spans="2:14" x14ac:dyDescent="0.2">
      <c r="B20" s="42"/>
    </row>
    <row r="21" spans="2:14" x14ac:dyDescent="0.2">
      <c r="B21" s="42"/>
    </row>
    <row r="22" spans="2:14" x14ac:dyDescent="0.2">
      <c r="B22" s="42"/>
    </row>
    <row r="23" spans="2:14" ht="23.25" x14ac:dyDescent="0.35">
      <c r="B23" s="148" t="s">
        <v>58</v>
      </c>
    </row>
    <row r="24" spans="2:14" ht="316.5" customHeight="1" x14ac:dyDescent="0.2">
      <c r="B24" s="151" t="str">
        <f>OneforOneText</f>
        <v>The one-for-one rule does not apply as there is no impact on business.</v>
      </c>
      <c r="C24" s="130"/>
      <c r="D24" s="131"/>
      <c r="E24" s="131"/>
    </row>
    <row r="26" spans="2:14" x14ac:dyDescent="0.2">
      <c r="B26" s="37" t="s">
        <v>59</v>
      </c>
    </row>
    <row r="27" spans="2:14" x14ac:dyDescent="0.2">
      <c r="B27" s="37"/>
    </row>
    <row r="28" spans="2:14" x14ac:dyDescent="0.2">
      <c r="B28" s="34" t="s">
        <v>60</v>
      </c>
    </row>
    <row r="29" spans="2:14" x14ac:dyDescent="0.2">
      <c r="B29" s="43" t="s">
        <v>61</v>
      </c>
      <c r="C29" s="10" cm="1">
        <f t="array" ref="C29:L29">_xlfn.SEQUENCE(,10, YearOfRegistration)</f>
        <v>2024</v>
      </c>
      <c r="D29" s="10">
        <v>2025</v>
      </c>
      <c r="E29" s="10">
        <v>2026</v>
      </c>
      <c r="F29" s="10">
        <v>2027</v>
      </c>
      <c r="G29" s="10">
        <v>2028</v>
      </c>
      <c r="H29" s="10">
        <v>2029</v>
      </c>
      <c r="I29" s="10">
        <v>2030</v>
      </c>
      <c r="J29" s="10">
        <v>2031</v>
      </c>
      <c r="K29" s="10">
        <v>2032</v>
      </c>
      <c r="L29" s="10">
        <v>2033</v>
      </c>
      <c r="M29" s="9" t="s">
        <v>62</v>
      </c>
      <c r="N29" s="9" t="s">
        <v>63</v>
      </c>
    </row>
    <row r="30" spans="2:14" x14ac:dyDescent="0.2">
      <c r="B30" s="44" t="str">
        <f>"Undiscounted Impacts ("&amp;PriceYear&amp;" price year)"</f>
        <v>Undiscounted Impacts (2023 price year)</v>
      </c>
      <c r="C30" s="11" cm="1">
        <f t="array" ref="C30:L30">SUMIFS(_xlfn.ANCHORARRAY('Full Output'!Q2),_xlfn.ANCHORARRAY( 'Full Output'!C2), "Administrative",_xlfn.ANCHORARRAY( 'Full Output'!D2), "In",_xlfn.ANCHORARRAY( 'Full Output'!E2),_xlfn.ANCHORARRAY( C29))</f>
        <v>0</v>
      </c>
      <c r="D30" s="11">
        <v>0</v>
      </c>
      <c r="E30" s="11">
        <v>0</v>
      </c>
      <c r="F30" s="11">
        <v>0</v>
      </c>
      <c r="G30" s="11">
        <v>0</v>
      </c>
      <c r="H30" s="11">
        <v>0</v>
      </c>
      <c r="I30" s="11">
        <v>0</v>
      </c>
      <c r="J30" s="11">
        <v>0</v>
      </c>
      <c r="K30" s="11">
        <v>0</v>
      </c>
      <c r="L30" s="11">
        <v>0</v>
      </c>
      <c r="M30" s="11">
        <f>SUM(_xlfn.ANCHORARRAY(C30))</f>
        <v>0</v>
      </c>
      <c r="N30" s="11" t="s">
        <v>64</v>
      </c>
    </row>
    <row r="31" spans="2:14" x14ac:dyDescent="0.2">
      <c r="B31" s="44" t="str">
        <f>"Discounted Impacts ("&amp;PriceYear&amp;" price year, 7% discount rate, "&amp;PVBaseYear&amp; " discount base year)"</f>
        <v>Discounted Impacts (2023 price year, 7% discount rate, 2024 discount base year)</v>
      </c>
      <c r="C31" s="11" cm="1">
        <f t="array" ref="C31:L31">SUMIFS(_xlfn.ANCHORARRAY('Full Output'!X2),_xlfn.ANCHORARRAY( 'Full Output'!D2), "In",_xlfn.ANCHORARRAY( 'Full Output'!E2),_xlfn.ANCHORARRAY( C29))</f>
        <v>0</v>
      </c>
      <c r="D31" s="11">
        <v>0</v>
      </c>
      <c r="E31" s="11">
        <v>0</v>
      </c>
      <c r="F31" s="11">
        <v>0</v>
      </c>
      <c r="G31" s="11">
        <v>0</v>
      </c>
      <c r="H31" s="11">
        <v>0</v>
      </c>
      <c r="I31" s="11">
        <v>0</v>
      </c>
      <c r="J31" s="11">
        <v>0</v>
      </c>
      <c r="K31" s="11">
        <v>0</v>
      </c>
      <c r="L31" s="11">
        <v>0</v>
      </c>
      <c r="M31" s="11">
        <f>SUM(_xlfn.ANCHORARRAY(C31))</f>
        <v>0</v>
      </c>
      <c r="N31" s="11">
        <f>M31*AF_7_10</f>
        <v>0</v>
      </c>
    </row>
    <row r="32" spans="2:14" x14ac:dyDescent="0.2">
      <c r="B32" s="44" t="s">
        <v>65</v>
      </c>
      <c r="C32" s="11" cm="1">
        <f t="array" ref="C32:L32">_xlfn.ANCHORARRAY(C30)*OneforOne_CPI_Conversion</f>
        <v>0</v>
      </c>
      <c r="D32" s="11">
        <v>0</v>
      </c>
      <c r="E32" s="11">
        <v>0</v>
      </c>
      <c r="F32" s="11">
        <v>0</v>
      </c>
      <c r="G32" s="11">
        <v>0</v>
      </c>
      <c r="H32" s="11">
        <v>0</v>
      </c>
      <c r="I32" s="11">
        <v>0</v>
      </c>
      <c r="J32" s="11">
        <v>0</v>
      </c>
      <c r="K32" s="11">
        <v>0</v>
      </c>
      <c r="L32" s="11">
        <v>0</v>
      </c>
      <c r="M32" s="11">
        <f>SUM(_xlfn.ANCHORARRAY(C32))</f>
        <v>0</v>
      </c>
      <c r="N32" s="11" t="s">
        <v>64</v>
      </c>
    </row>
    <row r="33" spans="2:14" x14ac:dyDescent="0.2">
      <c r="B33" s="44" t="s">
        <v>66</v>
      </c>
      <c r="C33" s="11" cm="1">
        <f t="array" ref="C33:L33">_xlfn.ANCHORARRAY(C31)*OneforOne_CPI_Conversion/(1.07)^Years_since_2012</f>
        <v>0</v>
      </c>
      <c r="D33" s="11">
        <v>0</v>
      </c>
      <c r="E33" s="11">
        <v>0</v>
      </c>
      <c r="F33" s="11">
        <v>0</v>
      </c>
      <c r="G33" s="11">
        <v>0</v>
      </c>
      <c r="H33" s="11">
        <v>0</v>
      </c>
      <c r="I33" s="11">
        <v>0</v>
      </c>
      <c r="J33" s="11">
        <v>0</v>
      </c>
      <c r="K33" s="11">
        <v>0</v>
      </c>
      <c r="L33" s="11">
        <v>0</v>
      </c>
      <c r="M33" s="11">
        <f>SUM(_xlfn.ANCHORARRAY(C33))</f>
        <v>0</v>
      </c>
      <c r="N33" s="11">
        <f>M33*AF_7_10</f>
        <v>0</v>
      </c>
    </row>
    <row r="34" spans="2:14" x14ac:dyDescent="0.2">
      <c r="B34" s="38"/>
    </row>
    <row r="35" spans="2:14" x14ac:dyDescent="0.2">
      <c r="B35" s="34" t="s">
        <v>67</v>
      </c>
    </row>
    <row r="36" spans="2:14" x14ac:dyDescent="0.2">
      <c r="B36" s="43" t="s">
        <v>61</v>
      </c>
      <c r="C36" s="10" cm="1">
        <f t="array" ref="C36:L36">_xlfn.SEQUENCE(,10, YearOfRegistration)</f>
        <v>2024</v>
      </c>
      <c r="D36" s="10">
        <v>2025</v>
      </c>
      <c r="E36" s="10">
        <v>2026</v>
      </c>
      <c r="F36" s="10">
        <v>2027</v>
      </c>
      <c r="G36" s="10">
        <v>2028</v>
      </c>
      <c r="H36" s="10">
        <v>2029</v>
      </c>
      <c r="I36" s="10">
        <v>2030</v>
      </c>
      <c r="J36" s="10">
        <v>2031</v>
      </c>
      <c r="K36" s="10">
        <v>2032</v>
      </c>
      <c r="L36" s="10">
        <v>2033</v>
      </c>
      <c r="M36" s="9" t="s">
        <v>62</v>
      </c>
      <c r="N36" s="9" t="s">
        <v>63</v>
      </c>
    </row>
    <row r="37" spans="2:14" x14ac:dyDescent="0.2">
      <c r="B37" s="44" t="str">
        <f>"Undiscounted Impacts ("&amp;PriceYear&amp;" price year)"</f>
        <v>Undiscounted Impacts (2023 price year)</v>
      </c>
      <c r="C37" s="11" cm="1">
        <f t="array" ref="C37:L37">-SUMIFS(_xlfn.ANCHORARRAY('Full Output'!Q2),_xlfn.ANCHORARRAY( 'Full Output'!C2), "Administrative",_xlfn.ANCHORARRAY( 'Full Output'!D2), "Out",_xlfn.ANCHORARRAY( 'Full Output'!E2),_xlfn.ANCHORARRAY( C36))</f>
        <v>0</v>
      </c>
      <c r="D37" s="11">
        <v>0</v>
      </c>
      <c r="E37" s="11">
        <v>0</v>
      </c>
      <c r="F37" s="11">
        <v>0</v>
      </c>
      <c r="G37" s="11">
        <v>0</v>
      </c>
      <c r="H37" s="11">
        <v>0</v>
      </c>
      <c r="I37" s="11">
        <v>0</v>
      </c>
      <c r="J37" s="11">
        <v>0</v>
      </c>
      <c r="K37" s="11">
        <v>0</v>
      </c>
      <c r="L37" s="11">
        <v>0</v>
      </c>
      <c r="M37" s="11">
        <f>SUM(_xlfn.ANCHORARRAY(C37))</f>
        <v>0</v>
      </c>
      <c r="N37" s="11" t="s">
        <v>64</v>
      </c>
    </row>
    <row r="38" spans="2:14" x14ac:dyDescent="0.2">
      <c r="B38" s="44" t="str">
        <f>"Discounted Impacts ("&amp;PriceYear&amp;" price year, 7% discount rate, "&amp;PVBaseYear&amp; " discount base year)"</f>
        <v>Discounted Impacts (2023 price year, 7% discount rate, 2024 discount base year)</v>
      </c>
      <c r="C38" s="11" cm="1">
        <f t="array" ref="C38:L38">-SUMIFS(_xlfn.ANCHORARRAY('Full Output'!X2),_xlfn.ANCHORARRAY( 'Full Output'!D2), "Out",_xlfn.ANCHORARRAY( 'Full Output'!E2),_xlfn.ANCHORARRAY( C36))</f>
        <v>0</v>
      </c>
      <c r="D38" s="11">
        <v>0</v>
      </c>
      <c r="E38" s="11">
        <v>0</v>
      </c>
      <c r="F38" s="11">
        <v>0</v>
      </c>
      <c r="G38" s="11">
        <v>0</v>
      </c>
      <c r="H38" s="11">
        <v>0</v>
      </c>
      <c r="I38" s="11">
        <v>0</v>
      </c>
      <c r="J38" s="11">
        <v>0</v>
      </c>
      <c r="K38" s="11">
        <v>0</v>
      </c>
      <c r="L38" s="11">
        <v>0</v>
      </c>
      <c r="M38" s="11">
        <f>SUM(_xlfn.ANCHORARRAY(C38))</f>
        <v>0</v>
      </c>
      <c r="N38" s="11">
        <f>M38*AF_7_10</f>
        <v>0</v>
      </c>
    </row>
    <row r="39" spans="2:14" x14ac:dyDescent="0.2">
      <c r="B39" s="44" t="s">
        <v>65</v>
      </c>
      <c r="C39" s="11" cm="1">
        <f t="array" ref="C39:L39">_xlfn.ANCHORARRAY(C37)*OneforOne_CPI_Conversion</f>
        <v>0</v>
      </c>
      <c r="D39" s="11">
        <v>0</v>
      </c>
      <c r="E39" s="11">
        <v>0</v>
      </c>
      <c r="F39" s="11">
        <v>0</v>
      </c>
      <c r="G39" s="11">
        <v>0</v>
      </c>
      <c r="H39" s="11">
        <v>0</v>
      </c>
      <c r="I39" s="11">
        <v>0</v>
      </c>
      <c r="J39" s="11">
        <v>0</v>
      </c>
      <c r="K39" s="11">
        <v>0</v>
      </c>
      <c r="L39" s="11">
        <v>0</v>
      </c>
      <c r="M39" s="11">
        <f>SUM(_xlfn.ANCHORARRAY(C39))</f>
        <v>0</v>
      </c>
      <c r="N39" s="11" t="s">
        <v>64</v>
      </c>
    </row>
    <row r="40" spans="2:14" x14ac:dyDescent="0.2">
      <c r="B40" s="44" t="s">
        <v>66</v>
      </c>
      <c r="C40" s="11" cm="1">
        <f t="array" ref="C40:L40">_xlfn.ANCHORARRAY(C38)*OneforOne_CPI_Conversion/(1.07)^Years_since_2012</f>
        <v>0</v>
      </c>
      <c r="D40" s="11">
        <v>0</v>
      </c>
      <c r="E40" s="11">
        <v>0</v>
      </c>
      <c r="F40" s="11">
        <v>0</v>
      </c>
      <c r="G40" s="11">
        <v>0</v>
      </c>
      <c r="H40" s="11">
        <v>0</v>
      </c>
      <c r="I40" s="11">
        <v>0</v>
      </c>
      <c r="J40" s="11">
        <v>0</v>
      </c>
      <c r="K40" s="11">
        <v>0</v>
      </c>
      <c r="L40" s="11">
        <v>0</v>
      </c>
      <c r="M40" s="11">
        <f>SUM(_xlfn.ANCHORARRAY(C40))</f>
        <v>0</v>
      </c>
      <c r="N40" s="11">
        <f>M40*AF_7_10</f>
        <v>0</v>
      </c>
    </row>
    <row r="41" spans="2:14" x14ac:dyDescent="0.2">
      <c r="B41" s="38"/>
    </row>
    <row r="42" spans="2:14" x14ac:dyDescent="0.2">
      <c r="B42" s="34" t="s">
        <v>68</v>
      </c>
    </row>
    <row r="43" spans="2:14" x14ac:dyDescent="0.2">
      <c r="B43" s="43" t="s">
        <v>61</v>
      </c>
      <c r="C43" s="10" cm="1">
        <f t="array" ref="C43:L43">_xlfn.SEQUENCE(,10, YearOfRegistration)</f>
        <v>2024</v>
      </c>
      <c r="D43" s="10">
        <v>2025</v>
      </c>
      <c r="E43" s="10">
        <v>2026</v>
      </c>
      <c r="F43" s="10">
        <v>2027</v>
      </c>
      <c r="G43" s="10">
        <v>2028</v>
      </c>
      <c r="H43" s="10">
        <v>2029</v>
      </c>
      <c r="I43" s="10">
        <v>2030</v>
      </c>
      <c r="J43" s="10">
        <v>2031</v>
      </c>
      <c r="K43" s="10">
        <v>2032</v>
      </c>
      <c r="L43" s="10">
        <v>2033</v>
      </c>
      <c r="M43" s="9" t="s">
        <v>62</v>
      </c>
      <c r="N43" s="9" t="s">
        <v>63</v>
      </c>
    </row>
    <row r="44" spans="2:14" x14ac:dyDescent="0.2">
      <c r="B44" s="44" t="str">
        <f>"Undiscounted Impacts ("&amp;PriceYear&amp;" price year)"</f>
        <v>Undiscounted Impacts (2023 price year)</v>
      </c>
      <c r="C44" s="11" cm="1">
        <f t="array" ref="C44:L44">_xlfn.ANCHORARRAY(C37)-_xlfn.ANCHORARRAY(C30)</f>
        <v>0</v>
      </c>
      <c r="D44" s="11">
        <v>0</v>
      </c>
      <c r="E44" s="11">
        <v>0</v>
      </c>
      <c r="F44" s="11">
        <v>0</v>
      </c>
      <c r="G44" s="11">
        <v>0</v>
      </c>
      <c r="H44" s="11">
        <v>0</v>
      </c>
      <c r="I44" s="11">
        <v>0</v>
      </c>
      <c r="J44" s="11">
        <v>0</v>
      </c>
      <c r="K44" s="11">
        <v>0</v>
      </c>
      <c r="L44" s="11">
        <v>0</v>
      </c>
      <c r="M44" s="11">
        <f>SUM(_xlfn.ANCHORARRAY(C44))</f>
        <v>0</v>
      </c>
      <c r="N44" s="11" t="s">
        <v>64</v>
      </c>
    </row>
    <row r="45" spans="2:14" x14ac:dyDescent="0.2">
      <c r="B45" s="44" t="str">
        <f>"Discounted Impacts ("&amp;PriceYear&amp;" price year, 7% discount rate, "&amp;PVBaseYear&amp; " discount base year)"</f>
        <v>Discounted Impacts (2023 price year, 7% discount rate, 2024 discount base year)</v>
      </c>
      <c r="C45" s="11" cm="1">
        <f t="array" ref="C45:L45">_xlfn.ANCHORARRAY(C38)-_xlfn.ANCHORARRAY(C31)</f>
        <v>0</v>
      </c>
      <c r="D45" s="11">
        <v>0</v>
      </c>
      <c r="E45" s="11">
        <v>0</v>
      </c>
      <c r="F45" s="11">
        <v>0</v>
      </c>
      <c r="G45" s="11">
        <v>0</v>
      </c>
      <c r="H45" s="11">
        <v>0</v>
      </c>
      <c r="I45" s="11">
        <v>0</v>
      </c>
      <c r="J45" s="11">
        <v>0</v>
      </c>
      <c r="K45" s="11">
        <v>0</v>
      </c>
      <c r="L45" s="11">
        <v>0</v>
      </c>
      <c r="M45" s="11">
        <f>SUM(_xlfn.ANCHORARRAY(C45))</f>
        <v>0</v>
      </c>
      <c r="N45" s="11">
        <f>M45*AF_7_10</f>
        <v>0</v>
      </c>
    </row>
    <row r="46" spans="2:14" x14ac:dyDescent="0.2">
      <c r="B46" s="44" t="s">
        <v>65</v>
      </c>
      <c r="C46" s="11" cm="1">
        <f t="array" ref="C46:L46">_xlfn.ANCHORARRAY(C39)-_xlfn.ANCHORARRAY(C32)</f>
        <v>0</v>
      </c>
      <c r="D46" s="11">
        <v>0</v>
      </c>
      <c r="E46" s="11">
        <v>0</v>
      </c>
      <c r="F46" s="11">
        <v>0</v>
      </c>
      <c r="G46" s="11">
        <v>0</v>
      </c>
      <c r="H46" s="11">
        <v>0</v>
      </c>
      <c r="I46" s="11">
        <v>0</v>
      </c>
      <c r="J46" s="11">
        <v>0</v>
      </c>
      <c r="K46" s="11">
        <v>0</v>
      </c>
      <c r="L46" s="11">
        <v>0</v>
      </c>
      <c r="M46" s="11">
        <f>SUM(_xlfn.ANCHORARRAY(C46))</f>
        <v>0</v>
      </c>
      <c r="N46" s="11" t="s">
        <v>64</v>
      </c>
    </row>
    <row r="47" spans="2:14" x14ac:dyDescent="0.2">
      <c r="B47" s="44" t="s">
        <v>66</v>
      </c>
      <c r="C47" s="11" cm="1">
        <f t="array" ref="C47:L47">_xlfn.ANCHORARRAY(C40)-_xlfn.ANCHORARRAY(C33)</f>
        <v>0</v>
      </c>
      <c r="D47" s="11">
        <v>0</v>
      </c>
      <c r="E47" s="11">
        <v>0</v>
      </c>
      <c r="F47" s="11">
        <v>0</v>
      </c>
      <c r="G47" s="11">
        <v>0</v>
      </c>
      <c r="H47" s="11">
        <v>0</v>
      </c>
      <c r="I47" s="11">
        <v>0</v>
      </c>
      <c r="J47" s="11">
        <v>0</v>
      </c>
      <c r="K47" s="11">
        <v>0</v>
      </c>
      <c r="L47" s="11">
        <v>0</v>
      </c>
      <c r="M47" s="11">
        <f>SUM(_xlfn.ANCHORARRAY(C47))</f>
        <v>0</v>
      </c>
      <c r="N47" s="11">
        <f>M47*AF_7_10</f>
        <v>0</v>
      </c>
    </row>
  </sheetData>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92D050"/>
  </sheetPr>
  <dimension ref="B2:C18"/>
  <sheetViews>
    <sheetView showGridLines="0" zoomScale="90" zoomScaleNormal="90" workbookViewId="0">
      <selection activeCell="B2" sqref="B2"/>
    </sheetView>
  </sheetViews>
  <sheetFormatPr defaultColWidth="9.140625" defaultRowHeight="12" x14ac:dyDescent="0.25"/>
  <cols>
    <col min="1" max="1" width="4" style="13" customWidth="1"/>
    <col min="2" max="2" width="48.42578125" style="47" customWidth="1"/>
    <col min="3" max="14" width="19.42578125" style="13" customWidth="1"/>
    <col min="15" max="16384" width="9.140625" style="13"/>
  </cols>
  <sheetData>
    <row r="2" spans="2:3" ht="15.75" x14ac:dyDescent="0.25">
      <c r="B2" s="46" t="s">
        <v>69</v>
      </c>
    </row>
    <row r="5" spans="2:3" x14ac:dyDescent="0.25">
      <c r="B5" s="34" t="s">
        <v>46</v>
      </c>
    </row>
    <row r="6" spans="2:3" ht="24" x14ac:dyDescent="0.25">
      <c r="B6" s="109" t="s">
        <v>70</v>
      </c>
      <c r="C6" s="110">
        <f>SUM(tbl_Stakeholders[Small Business Count])</f>
        <v>0</v>
      </c>
    </row>
    <row r="7" spans="2:3" x14ac:dyDescent="0.25">
      <c r="B7" s="111" t="s">
        <v>48</v>
      </c>
      <c r="C7" s="112" t="str">
        <f>Timeperiod&amp;" ("&amp;YearOfRegistration&amp;" to "&amp;YearOfRegistration+Timeperiod-1&amp;")"</f>
        <v>10 (2024 to 2033)</v>
      </c>
    </row>
    <row r="8" spans="2:3" x14ac:dyDescent="0.25">
      <c r="B8" s="111" t="s">
        <v>49</v>
      </c>
      <c r="C8" s="113">
        <f>PriceYear</f>
        <v>2023</v>
      </c>
    </row>
    <row r="9" spans="2:3" x14ac:dyDescent="0.25">
      <c r="B9" s="111" t="s">
        <v>50</v>
      </c>
      <c r="C9" s="113" t="str">
        <f>TEXT(Discount, "0%")</f>
        <v>7%</v>
      </c>
    </row>
    <row r="10" spans="2:3" x14ac:dyDescent="0.25">
      <c r="B10" s="114" t="s">
        <v>51</v>
      </c>
      <c r="C10" s="115">
        <f>PVBaseYear</f>
        <v>2024</v>
      </c>
    </row>
    <row r="11" spans="2:3" x14ac:dyDescent="0.25">
      <c r="B11" s="136" t="s">
        <v>71</v>
      </c>
      <c r="C11" s="137" t="s">
        <v>72</v>
      </c>
    </row>
    <row r="12" spans="2:3" x14ac:dyDescent="0.25">
      <c r="B12" s="138" t="s">
        <v>73</v>
      </c>
      <c r="C12" s="139">
        <v>0</v>
      </c>
    </row>
    <row r="15" spans="2:3" x14ac:dyDescent="0.25">
      <c r="B15" s="129" t="s">
        <v>74</v>
      </c>
    </row>
    <row r="18" spans="2:2" x14ac:dyDescent="0.25">
      <c r="B18" s="47" t="str" cm="1">
        <f t="array" ref="B18">_xlfn.LET(
_xlpm.Magnitude, 1/10^IF($C$11="Millions",6,IF($C$11="Billions",9)),
_xlpm.Magnitude_text, IF($C$11="Millions", " ($ millions)", IF($C$11="Billions", " ($ billions)", "")),
_xlpm.AffectedType, INDEX(tbl_Activities[Affected Stakeholder Type], MATCH(_xlfn.ANCHORARRAY('Full Output'!$A$2), ActivityNumber, 0)),
_xlpm.AffectsSmallBusinesses, --(_xlpm.AffectedType="Small Businesses")+--(_xlpm.AffectedType="All Businesses")+--(_xlpm.AffectedType="All Types"),
_xlpm.a, IFERROR(_xlfn.VSTACK(INDEX(_xlfn.UNIQUE(_xlfn._xlws.FILTER(_xlfn.ANCHORARRAY('Full Output'!$B$2):_xlfn.ANCHORARRAY('Full Output'!$C$2), (_xlfn.ANCHORARRAY('Full Output'!$D$2)="Out")*(_xlpm.AffectsSmallBusinesses=1))), , 2), "Total"),""),
_xlpm.b, IFERROR(_xlfn.VSTACK(INDEX(_xlfn.UNIQUE(_xlfn._xlws.FILTER(_xlfn.ANCHORARRAY('Full Output'!$B$2):_xlfn.ANCHORARRAY('Full Output'!$C$2), (_xlfn.ANCHORARRAY('Full Output'!$D$2)="Out")*(_xlpm.AffectsSmallBusinesses=1))), , 1), "Total benefits"),""),
_xlpm.c, -_xlfn.LET(_xlpm.x, SUMIFS(_xlfn.ANCHORARRAY('Full Output'!$T$2),_xlfn.ANCHORARRAY( 'Full Output'!$D$2), "Out",_xlfn.ANCHORARRAY( 'Full Output'!$B$2), _xlpm.b,_xlfn.ANCHORARRAY( 'Full Output'!$C$2), _xlpm.a), IF(_xlpm.b="Total benefits", SUM(_xlpm.x), _xlpm.x)),
_xlpm.d, _xlpm.c*AF,
_xlpm.tbl_SBLBenefits, _xlfn.HSTACK(_xlpm.a, _xlpm.b, DOLLAR(_xlpm.c*_xlpm.Magnitude, $C$12), DOLLAR(_xlpm.d*_xlpm.Magnitude, $C$12)),
_xlpm.TPV_Benefits, INDEX(_xlpm.tbl_SBLBenefits, ROWS(_xlpm.tbl_SBLBenefits), 3),
_xlpm.f, IFERROR(_xlfn.VSTACK(INDEX(_xlfn.UNIQUE(_xlfn._xlws.FILTER(_xlfn.ANCHORARRAY('Full Output'!$B$2):_xlfn.ANCHORARRAY('Full Output'!$C$2), (_xlfn.ANCHORARRAY('Full Output'!$D$2)="In")*(_xlpm.AffectsSmallBusinesses=1))), , 2), "Total"),""),
_xlpm.g, IFERROR(_xlfn.VSTACK(INDEX(_xlfn.UNIQUE(_xlfn._xlws.FILTER(_xlfn.ANCHORARRAY('Full Output'!$B$2):_xlfn.ANCHORARRAY('Full Output'!$C$2), (_xlfn.ANCHORARRAY('Full Output'!$D$2)="In")*(_xlpm.AffectsSmallBusinesses=1))), , 1), "Total costs"),""),
_xlpm.h, _xlfn.LET(_xlpm.y, SUMIFS(_xlfn.ANCHORARRAY('Full Output'!$T$2),_xlfn.ANCHORARRAY( 'Full Output'!$D$2), "In",_xlfn.ANCHORARRAY( 'Full Output'!$B$2), _xlpm.g,_xlfn.ANCHORARRAY( 'Full Output'!$C$2), _xlpm.f), IF(_xlpm.g="Total costs", SUM(_xlpm.y), _xlpm.y)),
_xlpm.i, _xlpm.h*AF,
_xlpm.tbl_SBLCosts, _xlfn.HSTACK(_xlpm.f, _xlpm.g, DOLLAR(_xlpm.h*_xlpm.Magnitude, $C$12), DOLLAR(_xlpm.i*_xlpm.Magnitude, $C$12)),
_xlpm.TPV_Costs, INDEX(_xlpm.tbl_SBLCosts, ROWS(_xlpm.tbl_SBLCosts), 3),
_xlpm.net_11, "Net impact on all impacted small businesses "&amp;CHAR(10)&amp;"[Total benefits minus total costs]",
_xlpm.net_12, _xlpm.TPV_Benefits-_xlpm.TPV_Costs,
_xlpm.net_13, _xlpm.net_12*AF,
_xlpm.net_21, "Average net impact on each impacted small business " &amp;CHAR(10)&amp;"[Net impact divided by number of impacted small businesses]",
_xlpm.net_22, _xlpm.net_12/C6,
_xlpm.net_23, _xlpm.net_22*AF,
_xlpm.tbl_SBLNet, _xlfn.VSTACK(_xlfn.HSTACK(_xlpm.net_11, DOLLAR(_xlpm.net_12, $C$12), DOLLAR(_xlpm.net_13, $C$12)), _xlfn.HSTACK(_xlpm.net_21, DOLLAR(_xlpm.net_22, $C$12), DOLLAR(_xlpm.net_23, $C$12))),
_xlpm.BenefitsHeader, _xlfn.HSTACK("Administrative or Compliance", "Description of benefit", "Present value", "Annualized Value"),
_xlpm.CostsHeader, _xlfn.HSTACK("Administrative or Compliance", "Description of cost", "Present value", "Annualized value"),
_xlpm.NetHeader, _xlfn.HSTACK("Amount", "Present value", "Annualized value"),
_xlpm.SBLYearHeader, _xlfn.HSTACK("CBA Parameter", YearHeader_Discounted),
_xlpm.IN_Undiscounted, _xlfn.IFS(YearHeader_Discounted="Total", DOLLAR(SUMIFS(_xlfn.ANCHORARRAY('Full Output'!$O$2),_xlfn.ANCHORARRAY( 'Full Output'!$D$2), "In")*_xlpm.Magnitude, $C$12), YearHeader_Discounted="Annualized", "N/A", TRUE, DOLLAR(SUMIFS(_xlfn.ANCHORARRAY('Full Output'!$O$2),_xlfn.ANCHORARRAY( 'Full Output'!$E$2), YearHeader_Discounted,_xlfn.ANCHORARRAY( 'Full Output'!$D$2), "In")*_xlpm.Magnitude, $C$12)),
_xlpm.IN_Discounted, DOLLAR(_xlfn.IFS(YearHeader_Discounted="Total", SUMIFS(_xlfn.ANCHORARRAY('Full Output'!$T$2),_xlfn.ANCHORARRAY( 'Full Output'!$D$2), "In"), YearHeader_Discounted="Annualized", SUMIFS(_xlfn.ANCHORARRAY('Full Output'!$T$2),_xlfn.ANCHORARRAY( 'Full Output'!$D$2), "In")*AF, TRUE, SUMIFS(_xlfn.ANCHORARRAY('Full Output'!$T$2),_xlfn.ANCHORARRAY( 'Full Output'!$E$2), YearHeader_Discounted,_xlfn.ANCHORARRAY( 'Full Output'!$D$2), "In"))*_xlpm.Magnitude, $C$12),
_xlpm.OUT_Undiscounted, _xlfn.IFS(YearHeader_Discounted="Total", DOLLAR(-SUMIFS(_xlfn.ANCHORARRAY('Full Output'!$O$2),_xlfn.ANCHORARRAY( 'Full Output'!$D$2), "Out")*_xlpm.Magnitude, $C$12), YearHeader_Discounted="Annualized", "N/A", TRUE, DOLLAR(-SUMIFS(_xlfn.ANCHORARRAY('Full Output'!$O$2),_xlfn.ANCHORARRAY( 'Full Output'!$E$2), YearHeader_Discounted,_xlfn.ANCHORARRAY( 'Full Output'!$D$2), "Out")*_xlpm.Magnitude, $C$12)),
_xlpm.OUT_Discounted, DOLLAR(-_xlfn.IFS(YearHeader_Discounted="Total", SUMIFS(_xlfn.ANCHORARRAY('Full Output'!T2),_xlfn.ANCHORARRAY( 'Full Output'!D2), "Out"), YearHeader_Discounted="Annualized", SUMIFS(_xlfn.ANCHORARRAY('Full Output'!T2),_xlfn.ANCHORARRAY( 'Full Output'!D2), "Out")*AF, TRUE, SUMIFS(_xlfn.ANCHORARRAY('Full Output'!T2),_xlfn.ANCHORARRAY( 'Full Output'!E2), YearHeader_Discounted,_xlfn.ANCHORARRAY( 'Full Output'!D2), "Out"))*_xlpm.Magnitude, $C$12),
_xlpm.NET_Undiscounted, IFERROR(DOLLAR(_xlpm.OUT_Undiscounted-_xlpm.IN_Undiscounted, $C$12), "N/A"),
_xlpm.NET_Discounted, DOLLAR(_xlpm.OUT_Discounted-_xlpm.IN_Discounted, $C$12),
_xlpm.IN, _xlfn.VSTACK("IN"&amp;_xlpm.Magnitude_text, _xlpm.SBLYearHeader, _xlfn.HSTACK(_xlfn.VSTACK("Undiscounted", "Discounted"), _xlfn.VSTACK(_xlpm.IN_Undiscounted, _xlpm.IN_Discounted))),
_xlpm.OUT, _xlfn.VSTACK("OUT"&amp;_xlpm.Magnitude_text, _xlpm.SBLYearHeader, _xlfn.HSTACK(_xlfn.VSTACK("Undiscounted", "Discounted"), _xlfn.VSTACK(_xlpm.OUT_Undiscounted, _xlpm.OUT_Discounted))),
_xlpm.NET, _xlfn.VSTACK("NET"&amp;_xlpm.Magnitude_text, _xlpm.SBLYearHeader, _xlfn.HSTACK(_xlfn.VSTACK("Undiscounted", "Discounted"), _xlfn.VSTACK(_xlpm.NET_Undiscounted, _xlpm.NET_Discounted))),
IFERROR(_xlfn.VSTACK("Benefits"&amp;_xlpm.Magnitude_text, _xlpm.BenefitsHeader, _xlpm.tbl_SBLBenefits, "", "", "Costs"&amp;_xlpm.Magnitude_text, _xlpm.CostsHeader, _xlpm.tbl_SBLCosts, "", "", "Net Impacts"&amp;_xlpm.Magnitude_text, _xlpm.NetHeader, _xlpm.tbl_SBLNet, "", "", "", _xlpm.IN, "", _xlpm.OUT, "", _xlpm.NET),""))</f>
        <v/>
      </c>
    </row>
  </sheetData>
  <conditionalFormatting sqref="B17:E403">
    <cfRule type="expression" dxfId="27" priority="1">
      <formula>$B16="Administrative or Compliance"</formula>
    </cfRule>
    <cfRule type="expression" dxfId="26" priority="3">
      <formula>$B17="Total"</formula>
    </cfRule>
    <cfRule type="expression" dxfId="25" priority="4">
      <formula>$B17="Amount"</formula>
    </cfRule>
    <cfRule type="expression" dxfId="24" priority="5">
      <formula>$B17="Administrative or Compliance"</formula>
    </cfRule>
    <cfRule type="expression" dxfId="23" priority="10">
      <formula>OR($B17="Net Impacts", $B17="Net Impacts ($ millions)", $B17="Net Impacts ($ billions)")</formula>
    </cfRule>
    <cfRule type="expression" dxfId="22" priority="11">
      <formula>OR($B17="Costs", $B17="Costs ($ millions)", $B17="Costs ($ billions)")</formula>
    </cfRule>
    <cfRule type="expression" dxfId="21" priority="12">
      <formula>OR($B17="Benefits", $B17="Benefits ($ millions)", $B17="Benefits ($ billions)")</formula>
    </cfRule>
  </conditionalFormatting>
  <conditionalFormatting sqref="B17:CY403">
    <cfRule type="expression" dxfId="20" priority="2">
      <formula>$B17="CBA Parameter"</formula>
    </cfRule>
    <cfRule type="expression" dxfId="19" priority="7">
      <formula>OR($B17="NET", $B17="Net ($ millions)", $B17="Net ($ billions)")</formula>
    </cfRule>
    <cfRule type="expression" dxfId="18" priority="8">
      <formula>OR($B17="OUT", $B17="OUT ($ millions)", $B17="OUT ($ billions)")</formula>
    </cfRule>
    <cfRule type="expression" dxfId="17" priority="9">
      <formula>OR($B17="IN", $B17="IN ($ millions)", $B17= "IN ($ billions)")</formula>
    </cfRule>
    <cfRule type="notContainsBlanks" dxfId="16" priority="13">
      <formula>LEN(TRIM(B17))&gt;0</formula>
    </cfRule>
  </conditionalFormatting>
  <dataValidations count="2">
    <dataValidation type="list" allowBlank="1" showInputMessage="1" showErrorMessage="1" sqref="C12:C15" xr:uid="{7A352B02-3BA5-4417-BCBC-67712185EC09}">
      <formula1>"0, 1, 2, 3, 4"</formula1>
    </dataValidation>
    <dataValidation type="list" allowBlank="1" showInputMessage="1" showErrorMessage="1" sqref="C11" xr:uid="{55570B72-1F02-48A0-9DA8-9AC9DA757705}">
      <formula1>"Single, Millions, Billions"</formula1>
    </dataValidation>
  </dataValidations>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0609-E1AB-41FA-872C-0054B4C65085}">
  <sheetPr codeName="Sheet8">
    <tabColor rgb="FFF4EE00"/>
  </sheetPr>
  <dimension ref="B2:N11"/>
  <sheetViews>
    <sheetView showGridLines="0" zoomScale="90" zoomScaleNormal="90" workbookViewId="0">
      <selection activeCell="B2" sqref="B2"/>
    </sheetView>
  </sheetViews>
  <sheetFormatPr defaultColWidth="9.140625" defaultRowHeight="12.75" x14ac:dyDescent="0.2"/>
  <cols>
    <col min="1" max="1" width="9.140625" style="97"/>
    <col min="2" max="2" width="25" style="97" customWidth="1"/>
    <col min="3" max="3" width="26.85546875" style="97" customWidth="1"/>
    <col min="4" max="14" width="11.42578125" style="97" customWidth="1"/>
    <col min="15" max="16384" width="9.140625" style="97"/>
  </cols>
  <sheetData>
    <row r="2" spans="2:14" ht="15.75" x14ac:dyDescent="0.2">
      <c r="B2" s="96" t="s">
        <v>75</v>
      </c>
    </row>
    <row r="3" spans="2:14" ht="15.75" x14ac:dyDescent="0.2">
      <c r="B3" s="96"/>
    </row>
    <row r="6" spans="2:14" s="100" customFormat="1" x14ac:dyDescent="0.2"/>
    <row r="7" spans="2:14" s="100" customFormat="1" x14ac:dyDescent="0.2">
      <c r="D7" s="100">
        <v>0</v>
      </c>
      <c r="E7" s="100" cm="1">
        <f t="array" ref="E7:N7">_xlfn.SEQUENCE(,Timeperiod)</f>
        <v>1</v>
      </c>
      <c r="F7" s="100">
        <v>2</v>
      </c>
      <c r="G7" s="100">
        <v>3</v>
      </c>
      <c r="H7" s="100">
        <v>4</v>
      </c>
      <c r="I7" s="100">
        <v>5</v>
      </c>
      <c r="J7" s="100">
        <v>6</v>
      </c>
      <c r="K7" s="100">
        <v>7</v>
      </c>
      <c r="L7" s="100">
        <v>8</v>
      </c>
      <c r="M7" s="100">
        <v>9</v>
      </c>
      <c r="N7" s="100">
        <v>10</v>
      </c>
    </row>
    <row r="8" spans="2:14" s="99" customFormat="1" x14ac:dyDescent="0.2">
      <c r="B8" s="98" t="s">
        <v>76</v>
      </c>
      <c r="C8" s="98" t="s">
        <v>77</v>
      </c>
      <c r="D8" s="98" cm="1">
        <f t="array" ref="D8:N8">_xlfn.HSTACK(YearOfRegistration, _xlfn.SEQUENCE(, Timeperiod, YearOfRegistration))</f>
        <v>2024</v>
      </c>
      <c r="E8" s="98">
        <v>2024</v>
      </c>
      <c r="F8" s="98">
        <v>2025</v>
      </c>
      <c r="G8" s="98">
        <v>2026</v>
      </c>
      <c r="H8" s="98">
        <v>2027</v>
      </c>
      <c r="I8" s="98">
        <v>2028</v>
      </c>
      <c r="J8" s="98">
        <v>2029</v>
      </c>
      <c r="K8" s="98">
        <v>2030</v>
      </c>
      <c r="L8" s="98">
        <v>2031</v>
      </c>
      <c r="M8" s="98">
        <v>2032</v>
      </c>
      <c r="N8" s="98">
        <v>2033</v>
      </c>
    </row>
    <row r="9" spans="2:14" x14ac:dyDescent="0.2">
      <c r="B9" s="97" t="str" cm="1">
        <f t="array" ref="B9:B11">IFERROR(_xlfn._xlws.SORT(_xlfn.TOCOL(IF(_xlfn.SEQUENCE(1, IF(SUM(tbl_Stakeholders[Non-business Count])=0, 3, 5)), _xlfn._xlws.FILTER(tbl_Stakeholders[Stakeholder Group], ISBLANK(tbl_Stakeholders[Stakeholder Group])=FALSE)),,1)), "")</f>
        <v/>
      </c>
      <c r="C9" s="97" t="str" cm="1">
        <f t="array" ref="C9">IFERROR(_xlfn.TOCOL( IF(_xlfn.SEQUENCE(COUNTA(tbl_Stakeholders[Stakeholder Group]), 1), IF(SUM(tbl_Stakeholders[Non-business Count])&gt;0, tbl_Stakeholders[[#Headers],[Non-business Count]:[Total Stakeholder Count]], tbl_Stakeholders[[#Headers],[Small Business Count]:[Total Business Count]])), ,FALSE ), "")</f>
        <v/>
      </c>
      <c r="D9" s="97" t="str" cm="1">
        <f t="array" ref="D9:D11">IFERROR(INDEX(tbl_Stakeholders[[Non-business Count]:[Total Stakeholder Count]], MATCH(_xlfn.ANCHORARRAY(B9), tbl_Stakeholders[Stakeholder Group], 0), MATCH(_xlfn.ANCHORARRAY(C9), tbl_Stakeholders[[#Headers],[Non-business Count]:[Total Stakeholder Count]], 0)), "")</f>
        <v/>
      </c>
      <c r="E9" s="97" t="str" cm="1">
        <f t="array" ref="E9">IF(COUNTA(tbl_Stakeholders[Stakeholder Group])=0, "", _xlfn.MAKEARRAY(ROWS(_xlfn._xlws.FILTER(tbl_Stakeholders[], tbl_Stakeholders[Stakeholder Group]&lt;&gt;""))*IF(SUM(tbl_Stakeholders[Non-business Count])&gt;0, 5, 3), Timeperiod, _xlfn.LAMBDA(_xlpm.r,_xlpm.c,
IFERROR(_xlfn.LET(
_xlpm.ThisGroup, MATCH(INDEX(_xlfn.ANCHORARRAY($B$9), _xlpm.r), tbl_Stakeholders[Stakeholder Group], 0),
_xlpm.x, INDEX(tbl_Stakeholders[Non-business Count], _xlpm.ThisGroup)*(1+INDEX(tbl_Stakeholders[Non-business Growth Rate], _xlpm.ThisGroup))^INDEX(_xlfn.ANCHORARRAY($E$7),, _xlpm.c),
_xlpm.y, INDEX(tbl_Stakeholders[Small Business Count], _xlpm.ThisGroup)*(1+INDEX(tbl_Stakeholders[Small Business Growth Rate], _xlpm.ThisGroup))^INDEX(_xlfn.ANCHORARRAY($E$7),,_xlpm.c),
_xlpm.z, INDEX(tbl_Stakeholders[Med/Large Business Count], _xlpm.ThisGroup)*(1+INDEX(tbl_Stakeholders[Med/Large Business Growth Rate], _xlpm.ThisGroup))^INDEX(_xlfn.ANCHORARRAY($E$7),,_xlpm.c),
IF(INDEX(_xlfn.ANCHORARRAY($C$9), _xlpm.r)="Non-business Count", _xlpm.x,
IF(INDEX(_xlfn.ANCHORARRAY($C$9), _xlpm.r)="Small Business Count", _xlpm.y,
IF(INDEX(_xlfn.ANCHORARRAY($C$9), _xlpm.r)="Med/Large Business Count", _xlpm.z,
IF(INDEX(_xlfn.ANCHORARRAY($C$9), _xlpm.r)="Total Business Count", _xlpm.y+_xlpm.z,
IF(INDEX(_xlfn.ANCHORARRAY($C$9), _xlpm.r)="Total Stakeholder Count", _xlpm.x+_xlpm.y+_xlpm.z)))))), ""))))</f>
        <v/>
      </c>
    </row>
    <row r="10" spans="2:14" x14ac:dyDescent="0.2">
      <c r="B10" s="97" t="str">
        <v/>
      </c>
      <c r="D10" s="97" t="str">
        <v/>
      </c>
    </row>
    <row r="11" spans="2:14" x14ac:dyDescent="0.2">
      <c r="B11" s="97" t="str">
        <v/>
      </c>
      <c r="D11" s="97" t="str">
        <v/>
      </c>
    </row>
  </sheetData>
  <phoneticPr fontId="3" type="noConversion"/>
  <conditionalFormatting sqref="B9:O9 Q9:CY9 B10:CY398">
    <cfRule type="notContainsBlanks" dxfId="15" priority="9">
      <formula>LEN(TRIM(B9))&gt;0</formula>
    </cfRule>
  </conditionalFormatting>
  <conditionalFormatting sqref="B8:CY8">
    <cfRule type="notContainsBlanks" dxfId="14" priority="8">
      <formula>LEN(TRIM(B8))&gt;0</formula>
    </cfRule>
  </conditionalFormatting>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2D91-9FC2-455A-8350-FC9B47A63605}">
  <sheetPr codeName="Sheet9">
    <tabColor rgb="FFF4EE00"/>
  </sheetPr>
  <dimension ref="B2:N17"/>
  <sheetViews>
    <sheetView showGridLines="0" zoomScaleNormal="100" workbookViewId="0">
      <selection activeCell="B15" sqref="B15"/>
    </sheetView>
  </sheetViews>
  <sheetFormatPr defaultColWidth="9.140625" defaultRowHeight="12.75" x14ac:dyDescent="0.25"/>
  <cols>
    <col min="1" max="1" width="9.140625" style="45"/>
    <col min="2" max="2" width="29.28515625" style="92" customWidth="1"/>
    <col min="3" max="14" width="15.7109375" style="45" customWidth="1"/>
    <col min="15" max="16384" width="9.140625" style="45"/>
  </cols>
  <sheetData>
    <row r="2" spans="2:14" ht="15.75" x14ac:dyDescent="0.25">
      <c r="B2" s="89" t="s">
        <v>78</v>
      </c>
    </row>
    <row r="5" spans="2:14" x14ac:dyDescent="0.25">
      <c r="B5" s="104" t="s">
        <v>49</v>
      </c>
      <c r="C5" s="101">
        <f>PriceYear</f>
        <v>2023</v>
      </c>
    </row>
    <row r="6" spans="2:14" x14ac:dyDescent="0.25">
      <c r="B6" s="105" t="s">
        <v>50</v>
      </c>
      <c r="C6" s="102">
        <f>Discount</f>
        <v>7.0000000000000007E-2</v>
      </c>
    </row>
    <row r="7" spans="2:14" x14ac:dyDescent="0.25">
      <c r="B7" s="106" t="s">
        <v>79</v>
      </c>
      <c r="C7" s="103">
        <f>PVBaseYear</f>
        <v>2024</v>
      </c>
    </row>
    <row r="8" spans="2:14" x14ac:dyDescent="0.25">
      <c r="B8" s="132" t="s">
        <v>71</v>
      </c>
      <c r="C8" s="133" t="s">
        <v>72</v>
      </c>
    </row>
    <row r="9" spans="2:14" x14ac:dyDescent="0.25">
      <c r="B9" s="134" t="s">
        <v>73</v>
      </c>
      <c r="C9" s="135">
        <v>0</v>
      </c>
    </row>
    <row r="12" spans="2:14" x14ac:dyDescent="0.25">
      <c r="B12" s="144" t="s">
        <v>80</v>
      </c>
    </row>
    <row r="13" spans="2:14" x14ac:dyDescent="0.25">
      <c r="B13" s="144"/>
    </row>
    <row r="15" spans="2:14" s="95" customFormat="1" x14ac:dyDescent="0.25">
      <c r="B15" s="107" t="s">
        <v>61</v>
      </c>
      <c r="C15" s="93" cm="1">
        <f t="array" ref="C15:N15">_xlfn.HSTACK(_xlfn.SEQUENCE(, Timeperiod, YearOfRegistration), "Total", "Annualized")</f>
        <v>2024</v>
      </c>
      <c r="D15" s="93">
        <v>2025</v>
      </c>
      <c r="E15" s="93">
        <v>2026</v>
      </c>
      <c r="F15" s="93">
        <v>2027</v>
      </c>
      <c r="G15" s="93">
        <v>2028</v>
      </c>
      <c r="H15" s="93">
        <v>2029</v>
      </c>
      <c r="I15" s="93">
        <v>2030</v>
      </c>
      <c r="J15" s="93">
        <v>2031</v>
      </c>
      <c r="K15" s="93">
        <v>2032</v>
      </c>
      <c r="L15" s="93">
        <v>2033</v>
      </c>
      <c r="M15" s="93" t="str">
        <v>Total</v>
      </c>
      <c r="N15" s="93" t="str">
        <v>Annualized</v>
      </c>
    </row>
    <row r="16" spans="2:14" x14ac:dyDescent="0.25">
      <c r="B16" s="108" t="str">
        <f>"Discounted Impacts" &amp; IF($C$8="Millions", " ($ millions)", IF($C$8="Billions", " ($ billions)", ""))</f>
        <v>Discounted Impacts</v>
      </c>
      <c r="C16" s="94" t="str" cm="1">
        <f t="array" ref="C16:N16">_xlfn.MAKEARRAY(1,Timeperiod+2,_xlfn.LAMBDA(_xlpm.r,_xlpm.c,
DOLLAR(
     IF(INDEX(_xlfn.ANCHORARRAY(C15),, _xlpm.c)="Total",-SUM(_xlfn.ANCHORARRAY('Full Output'!$W$2)),
     IF(INDEX(_xlfn.ANCHORARRAY(C15),, _xlpm.c)="Annualized",-SUM(_xlfn.ANCHORARRAY('Full Output'!$W$2))*AF,
     -SUMIFS(_xlfn.ANCHORARRAY('Full Output'!$W$2),_xlfn.ANCHORARRAY('Full Output'!$E$2),INDEX(_xlfn.ANCHORARRAY(C15),, _xlpm.c))))
/10^IF($C$8="Millions",6,IF($C$8="Billions",9)),
$C$9)))</f>
        <v>$0</v>
      </c>
      <c r="D16" s="94" t="str">
        <v>$0</v>
      </c>
      <c r="E16" s="94" t="str">
        <v>$0</v>
      </c>
      <c r="F16" s="94" t="str">
        <v>$0</v>
      </c>
      <c r="G16" s="94" t="str">
        <v>$0</v>
      </c>
      <c r="H16" s="94" t="str">
        <v>$0</v>
      </c>
      <c r="I16" s="94" t="str">
        <v>$0</v>
      </c>
      <c r="J16" s="94" t="str">
        <v>$0</v>
      </c>
      <c r="K16" s="94" t="str">
        <v>$0</v>
      </c>
      <c r="L16" s="94" t="str">
        <v>$0</v>
      </c>
      <c r="M16" s="94" t="str">
        <v>$0</v>
      </c>
      <c r="N16" s="94" t="str">
        <v>$0</v>
      </c>
    </row>
    <row r="17" spans="2:14" x14ac:dyDescent="0.25">
      <c r="B17" s="108" t="str">
        <f>"Undiscounted Impacts"&amp; IF($C$8="Millions", " ($ millions)", IF($C$8="Billions", " ($ billions)", ""))</f>
        <v>Undiscounted Impacts</v>
      </c>
      <c r="C17" s="94" t="str" cm="1">
        <f t="array" ref="C17:N17">_xlfn.MAKEARRAY(1,Timeperiod+2,_xlfn.LAMBDA(_xlpm.r,_xlpm.c,
     IF(INDEX(_xlfn.ANCHORARRAY(C15),, _xlpm.c)="Total",DOLLAR(-SUM(_xlfn.ANCHORARRAY('Full Output'!R2))/10^IF($C$8="Millions", 6, IF($C$8="Billions", 9)), $C$9),
     IF(INDEX(_xlfn.ANCHORARRAY(C15),, _xlpm.c)="Annualized", "N/A",
     DOLLAR(-SUMIFS(_xlfn.ANCHORARRAY('Full Output'!R2),_xlfn.ANCHORARRAY( 'Full Output'!E2), INDEX(_xlfn.ANCHORARRAY(C15),, _xlpm.c))/10^IF($C$8="Millions", 6, IF($C$8="Billions", 9)), $C$9)
))))</f>
        <v>$0</v>
      </c>
      <c r="D17" s="94" t="str">
        <v>$0</v>
      </c>
      <c r="E17" s="94" t="str">
        <v>$0</v>
      </c>
      <c r="F17" s="94" t="str">
        <v>$0</v>
      </c>
      <c r="G17" s="94" t="str">
        <v>$0</v>
      </c>
      <c r="H17" s="94" t="str">
        <v>$0</v>
      </c>
      <c r="I17" s="94" t="str">
        <v>$0</v>
      </c>
      <c r="J17" s="94" t="str">
        <v>$0</v>
      </c>
      <c r="K17" s="94" t="str">
        <v>$0</v>
      </c>
      <c r="L17" s="94" t="str">
        <v>$0</v>
      </c>
      <c r="M17" s="94" t="str">
        <v>$0</v>
      </c>
      <c r="N17" s="94" t="str">
        <v>N/A</v>
      </c>
    </row>
  </sheetData>
  <conditionalFormatting sqref="B15:CZ17">
    <cfRule type="notContainsBlanks" dxfId="13" priority="1">
      <formula>LEN(TRIM(B15))&gt;0</formula>
    </cfRule>
  </conditionalFormatting>
  <dataValidations count="2">
    <dataValidation type="list" allowBlank="1" showInputMessage="1" showErrorMessage="1" sqref="C8" xr:uid="{69D5BCA3-1DDE-4D34-B518-FCF255D97552}">
      <formula1>"Single, Millions, Billions"</formula1>
    </dataValidation>
    <dataValidation type="list" allowBlank="1" showInputMessage="1" showErrorMessage="1" sqref="C9" xr:uid="{D05AD85C-4B7D-48E1-A276-EAD5F567C94D}">
      <formula1>"0, 1, 2, 3, 4"</formula1>
    </dataValidation>
  </dataValidations>
  <pageMargins left="0.7" right="0.7" top="0.75" bottom="0.75" header="0.3" footer="0.3"/>
  <pageSetup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67EB-1517-4DD5-A8C6-A908CDF6C143}">
  <sheetPr codeName="Sheet10">
    <tabColor rgb="FFF4EE00"/>
  </sheetPr>
  <dimension ref="B2:C15"/>
  <sheetViews>
    <sheetView showGridLines="0" zoomScaleNormal="100" workbookViewId="0">
      <selection activeCell="B17" sqref="B17"/>
    </sheetView>
  </sheetViews>
  <sheetFormatPr defaultColWidth="9.140625" defaultRowHeight="12.75" x14ac:dyDescent="0.25"/>
  <cols>
    <col min="1" max="1" width="9.140625" style="45"/>
    <col min="2" max="2" width="29.28515625" style="92" customWidth="1"/>
    <col min="3" max="14" width="15.7109375" style="45" customWidth="1"/>
    <col min="15" max="16384" width="9.140625" style="45"/>
  </cols>
  <sheetData>
    <row r="2" spans="2:3" ht="15.75" x14ac:dyDescent="0.25">
      <c r="B2" s="91" t="s">
        <v>81</v>
      </c>
    </row>
    <row r="3" spans="2:3" x14ac:dyDescent="0.2">
      <c r="B3" s="90"/>
    </row>
    <row r="4" spans="2:3" x14ac:dyDescent="0.2">
      <c r="B4" s="90"/>
    </row>
    <row r="5" spans="2:3" x14ac:dyDescent="0.25">
      <c r="B5" s="104" t="s">
        <v>49</v>
      </c>
      <c r="C5" s="101">
        <f>PriceYear</f>
        <v>2023</v>
      </c>
    </row>
    <row r="6" spans="2:3" x14ac:dyDescent="0.25">
      <c r="B6" s="105" t="s">
        <v>50</v>
      </c>
      <c r="C6" s="102">
        <f>Discount</f>
        <v>7.0000000000000007E-2</v>
      </c>
    </row>
    <row r="7" spans="2:3" x14ac:dyDescent="0.25">
      <c r="B7" s="106" t="s">
        <v>79</v>
      </c>
      <c r="C7" s="103">
        <f>PVBaseYear</f>
        <v>2024</v>
      </c>
    </row>
    <row r="8" spans="2:3" x14ac:dyDescent="0.25">
      <c r="B8" s="132" t="s">
        <v>71</v>
      </c>
      <c r="C8" s="133" t="s">
        <v>72</v>
      </c>
    </row>
    <row r="9" spans="2:3" x14ac:dyDescent="0.25">
      <c r="B9" s="134" t="s">
        <v>73</v>
      </c>
      <c r="C9" s="135">
        <v>0</v>
      </c>
    </row>
    <row r="12" spans="2:3" x14ac:dyDescent="0.25">
      <c r="B12" s="144" t="s">
        <v>80</v>
      </c>
    </row>
    <row r="15" spans="2:3" x14ac:dyDescent="0.25">
      <c r="B15" s="92" t="str" cm="1">
        <f t="array" ref="B15">_xlfn.LET(
_xlpm.Activities, _xlfn.UNIQUE(_xlfn._xlws.FILTER(tbl_Activities[Activity], Checkblank)),
_xlpm.Magnitude, 1/10^IF($C$8="Millions",6,IF($C$8="Billions",9)),
_xlpm.Magnitude_text, IF($C$8="Millions", " ($ millions)",IF($C$8="Billions", " ($ billions)", "")),
_xlpm.x, -_xlfn.MAKEARRAY(ROWS(_xlpm.Activities), Timeperiod+2, _xlfn.LAMBDA(_xlpm.r,_xlpm.c,
     IF(INDEX(YearHeader_Discounted,, _xlpm.c)="Total", SUMIFS(_xlfn.ANCHORARRAY('Full Output'!$W$2),_xlfn.ANCHORARRAY('Full Output'!$B$2), INDEX(_xlpm.Activities, _xlpm.r)),
     IF(INDEX(YearHeader_Discounted,, _xlpm.c)="Annualized", SUMIFS(_xlfn.ANCHORARRAY('Full Output'!$W$2),_xlfn.ANCHORARRAY('Full Output'!$B$2), INDEX(_xlpm.Activities, _xlpm.r))*AF,
     (SUMIFS(_xlfn.ANCHORARRAY('Full Output'!$W$2),_xlfn.ANCHORARRAY('Full Output'!$E$2), INDEX(YearHeader_Discounted,, _xlpm.c),_xlfn.ANCHORARRAY('Full Output'!$B$2), INDEX(_xlpm.Activities, _xlpm.r))))))),
_xlpm.Output_Discounted, _xlfn.VSTACK(_xlfn.HSTACK("Activity", YearHeader_Discounted), _xlfn.HSTACK(_xlfn.VSTACK(_xlpm.Activities, "Total"), DOLLAR(_xlfn.VSTACK(_xlpm.x, _xlfn.BYCOL(_xlpm.x, _xlfn.LAMBDA(_xlpm.c, SUM(_xlpm.c))))*_xlpm.Magnitude, $C$9))),
_xlpm.y, -_xlfn.MAKEARRAY(ROWS(_xlpm.Activities), Timeperiod+1, _xlfn.LAMBDA(_xlpm.r,_xlpm.c,
     IF(INDEX(YearHeader_Undiscounted,, _xlpm.c)="Total", SUMIFS(_xlfn.ANCHORARRAY('Full Output'!$R$2),_xlfn.ANCHORARRAY( 'Full Output'!$B$2), INDEX(_xlpm.Activities, _xlpm.r)),
     SUMIFS(_xlfn.ANCHORARRAY('Full Output'!$R$2),_xlfn.ANCHORARRAY( 'Full Output'!$E$2), INDEX(YearHeader_Undiscounted,, _xlpm.c),_xlfn.ANCHORARRAY( 'Full Output'!$B$2), INDEX(_xlpm.Activities, _xlpm.r))))),
_xlpm.Output_Undiscounted, _xlfn.VSTACK(_xlfn.HSTACK("Activity", YearHeader_Undiscounted), _xlfn.HSTACK(_xlfn.VSTACK(_xlpm.Activities, "Total"), DOLLAR(_xlfn.VSTACK(_xlpm.y, _xlfn.BYCOL(_xlpm.y, _xlfn.LAMBDA(_xlpm.c, SUM(_xlpm.c))))*_xlpm.Magnitude, $C$9))),
IFERROR(_xlfn.VSTACK("Discounted"&amp;_xlpm.Magnitude_text, "", _xlpm.Output_Discounted, "", "", "Undiscounted"&amp;_xlpm.Magnitude_text, "", _xlpm.Output_Undiscounted), ""))</f>
        <v/>
      </c>
    </row>
  </sheetData>
  <conditionalFormatting sqref="B15:CZ203">
    <cfRule type="expression" dxfId="12" priority="1">
      <formula>$B15="Total"</formula>
    </cfRule>
    <cfRule type="expression" dxfId="11" priority="2">
      <formula>OR($B15="Undiscounted", $B15="Undiscounted ($ millions)", $B15="Undiscounted ($ billions)")</formula>
    </cfRule>
    <cfRule type="expression" dxfId="10" priority="3">
      <formula>OR($B15="Discounted", $B15="Discounted ($ millions)", $B15="Discounted ($ billions)")</formula>
    </cfRule>
    <cfRule type="expression" dxfId="9" priority="4">
      <formula>$B15="Activity"</formula>
    </cfRule>
    <cfRule type="notContainsBlanks" dxfId="8" priority="5">
      <formula>LEN(TRIM(B15))&gt;0</formula>
    </cfRule>
  </conditionalFormatting>
  <dataValidations count="2">
    <dataValidation type="list" allowBlank="1" showInputMessage="1" showErrorMessage="1" sqref="C8" xr:uid="{33911ECE-E735-4281-AC04-5023BF046E61}">
      <formula1>"Single, Millions, Billions"</formula1>
    </dataValidation>
    <dataValidation type="list" allowBlank="1" showInputMessage="1" showErrorMessage="1" sqref="C9" xr:uid="{A508D99E-B10C-40FD-B22E-F6612B66D71C}">
      <formula1>"0, 1, 2, 3, 4"</formula1>
    </dataValidation>
  </dataValidation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A434-BAE3-4084-A60F-A515E04FFF87}">
  <sheetPr codeName="Sheet11">
    <tabColor rgb="FFF4EE00"/>
  </sheetPr>
  <dimension ref="B2:C15"/>
  <sheetViews>
    <sheetView showGridLines="0" zoomScaleNormal="100" workbookViewId="0">
      <selection activeCell="B2" sqref="B2"/>
    </sheetView>
  </sheetViews>
  <sheetFormatPr defaultColWidth="9.140625" defaultRowHeight="12.75" x14ac:dyDescent="0.25"/>
  <cols>
    <col min="1" max="1" width="9.140625" style="45"/>
    <col min="2" max="2" width="29.28515625" style="92" customWidth="1"/>
    <col min="3" max="14" width="15.7109375" style="45" customWidth="1"/>
    <col min="15" max="16384" width="9.140625" style="45"/>
  </cols>
  <sheetData>
    <row r="2" spans="2:3" ht="15.75" x14ac:dyDescent="0.25">
      <c r="B2" s="89" t="s">
        <v>82</v>
      </c>
    </row>
    <row r="5" spans="2:3" x14ac:dyDescent="0.25">
      <c r="B5" s="104" t="s">
        <v>49</v>
      </c>
      <c r="C5" s="101">
        <f>PriceYear</f>
        <v>2023</v>
      </c>
    </row>
    <row r="6" spans="2:3" x14ac:dyDescent="0.25">
      <c r="B6" s="105" t="s">
        <v>50</v>
      </c>
      <c r="C6" s="102">
        <f>Discount</f>
        <v>7.0000000000000007E-2</v>
      </c>
    </row>
    <row r="7" spans="2:3" x14ac:dyDescent="0.25">
      <c r="B7" s="106" t="s">
        <v>79</v>
      </c>
      <c r="C7" s="103">
        <f>PVBaseYear</f>
        <v>2024</v>
      </c>
    </row>
    <row r="8" spans="2:3" x14ac:dyDescent="0.25">
      <c r="B8" s="141" t="s">
        <v>71</v>
      </c>
      <c r="C8" s="142" t="s">
        <v>72</v>
      </c>
    </row>
    <row r="9" spans="2:3" x14ac:dyDescent="0.25">
      <c r="B9" s="134" t="s">
        <v>73</v>
      </c>
      <c r="C9" s="135">
        <v>0</v>
      </c>
    </row>
    <row r="12" spans="2:3" x14ac:dyDescent="0.25">
      <c r="B12" s="144" t="s">
        <v>80</v>
      </c>
    </row>
    <row r="15" spans="2:3" x14ac:dyDescent="0.25">
      <c r="B15" s="92" t="str" cm="1">
        <f t="array" ref="B15">_xlfn.LET(
_xlpm.Magnitude, 1/10^IF($C$8="Millions", 6, IF($C$8="Billions", 9)),
_xlpm.Magnitude_text, IF($C$8="Millions", " ($ millions)", IF($C$8="Billions", " ($ billions)", "")),
_xlpm.output_discounted,
     _xlfn.LET(_xlpm.x, TRANSPOSE(_xlfn.MAKEARRAY(Timeperiod, StakeholderCols, _xlfn.LAMBDA(_xlpm.r,_xlpm.c,
     SUMIFS(INDEX(_xlfn.ANCHORARRAY('Full Output'!$AP$2), ,_xlpm.c+StakeholderCols),_xlfn.ANCHORARRAY( 'Full Output'!$E$2), INDEX(_xlfn.SEQUENCE(Timeperiod, , YearOfRegistration), _xlpm.r,))))),
     _xlpm.y, _xlfn.BYROW(_xlpm.x, _xlfn.LAMBDA(_xlpm.a, SUM(_xlpm.a))),
     _xlpm.w, _xlpm.y*AF,
     _xlpm.z, _xlfn.HSTACK(_xlpm.x, _xlpm.y, _xlpm.w),
     _xlpm.u, _xlfn.BYCOL(_xlpm.z, _xlfn.LAMBDA(_xlpm.b, SUM(_xlpm.b))),
     _xlpm.e, DOLLAR(-_xlfn.VSTACK(_xlpm.z, _xlpm.u)*_xlpm.Magnitude, $C$9),
     _xlfn.HSTACK(StakeholderGroupsTotal, _xlfn.VSTACK(YearHeader_Discounted, _xlpm.e))),
_xlpm.output_undiscounted,
     _xlfn.LET(_xlpm.x, TRANSPOSE(_xlfn.MAKEARRAY(Timeperiod, StakeholderCols, _xlfn.LAMBDA(_xlpm.r,_xlpm.c,
     SUMIFS(INDEX(_xlfn.ANCHORARRAY('Full Output'!$AP$2), ,_xlpm.c),_xlfn.ANCHORARRAY( 'Full Output'!$E$2), INDEX(_xlfn.SEQUENCE(Timeperiod, , YearOfRegistration), _xlpm.r,))))),
     _xlpm.y, _xlfn.BYROW(_xlpm.x, _xlfn.LAMBDA(_xlpm.a, SUM(_xlpm.a))),
     _xlpm.z, _xlfn.HSTACK(_xlpm.x, _xlpm.y),
     _xlpm.u, _xlfn.BYCOL(_xlpm.z, _xlfn.LAMBDA(_xlpm.b, SUM(_xlpm.b))),
     _xlpm.e, DOLLAR(-_xlfn.VSTACK(_xlpm.z, _xlpm.u)*_xlpm.Magnitude, $C$9),
     _xlfn.HSTACK(StakeholderGroupsTotal, _xlfn.VSTACK(YearHeader_Undiscounted, _xlpm.e))),
IFERROR(_xlfn.VSTACK("Discounted"&amp;_xlpm.Magnitude_text, "", _xlpm.output_discounted, "", "", "Undiscounted"&amp;_xlpm.Magnitude_text, "", _xlpm.output_undiscounted), ""))</f>
        <v/>
      </c>
    </row>
  </sheetData>
  <conditionalFormatting sqref="B15:CJ403">
    <cfRule type="expression" dxfId="7" priority="1">
      <formula>OR($B15="Undiscounted", $B15="Undiscounted ($ millions)", $B15="Undiscounted ($ billions)")</formula>
    </cfRule>
    <cfRule type="expression" dxfId="6" priority="2">
      <formula>OR($B15="Discounted", $B15="Discounted ($ millions)", $B15="Discounted ($ billions)")</formula>
    </cfRule>
    <cfRule type="expression" dxfId="5" priority="3">
      <formula>$B15="Total"</formula>
    </cfRule>
    <cfRule type="expression" dxfId="4" priority="4">
      <formula>$B15="Stakeholder Group"</formula>
    </cfRule>
    <cfRule type="notContainsBlanks" dxfId="3" priority="5">
      <formula>LEN(TRIM(B15))&gt;0</formula>
    </cfRule>
  </conditionalFormatting>
  <dataValidations count="2">
    <dataValidation type="list" allowBlank="1" showInputMessage="1" showErrorMessage="1" sqref="C9" xr:uid="{77A1A692-4830-4241-9955-C37685488C40}">
      <formula1>"0, 1, 2, 3, 4"</formula1>
    </dataValidation>
    <dataValidation type="list" allowBlank="1" showInputMessage="1" showErrorMessage="1" sqref="C8" xr:uid="{2D1CF8B9-B73A-4BCA-85EC-CB482BEA9845}">
      <formula1>"Single, Millions, Billions"</formula1>
    </dataValidation>
  </dataValidation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FC000"/>
  </sheetPr>
  <dimension ref="B2:F67"/>
  <sheetViews>
    <sheetView showGridLines="0" zoomScaleNormal="100" workbookViewId="0">
      <pane ySplit="14" topLeftCell="A35" activePane="bottomLeft" state="frozen"/>
      <selection activeCell="R28" sqref="R28"/>
      <selection pane="bottomLeft" activeCell="A66" sqref="A66"/>
    </sheetView>
  </sheetViews>
  <sheetFormatPr defaultColWidth="9.140625" defaultRowHeight="12" x14ac:dyDescent="0.2"/>
  <cols>
    <col min="1" max="1" width="2.85546875" style="16" customWidth="1"/>
    <col min="2" max="2" width="11.85546875" style="181" customWidth="1"/>
    <col min="3" max="3" width="80.7109375" style="16" customWidth="1"/>
    <col min="4" max="4" width="16.7109375" style="16" customWidth="1"/>
    <col min="5" max="5" width="26.85546875" style="16" customWidth="1"/>
    <col min="6" max="6" width="27.28515625" style="16" customWidth="1"/>
    <col min="7" max="7" width="4.7109375" style="16" customWidth="1"/>
    <col min="8" max="16384" width="9.140625" style="16"/>
  </cols>
  <sheetData>
    <row r="2" spans="2:6" ht="15" x14ac:dyDescent="0.25">
      <c r="B2" s="180"/>
      <c r="C2" s="172" t="s">
        <v>273</v>
      </c>
    </row>
    <row r="3" spans="2:6" x14ac:dyDescent="0.2">
      <c r="B3" s="180"/>
      <c r="C3" s="68"/>
    </row>
    <row r="4" spans="2:6" x14ac:dyDescent="0.2">
      <c r="C4" s="69"/>
      <c r="D4" s="70"/>
    </row>
    <row r="5" spans="2:6" x14ac:dyDescent="0.2">
      <c r="D5" s="70"/>
    </row>
    <row r="6" spans="2:6" x14ac:dyDescent="0.2">
      <c r="C6" s="70"/>
      <c r="D6" s="70"/>
    </row>
    <row r="7" spans="2:6" x14ac:dyDescent="0.2">
      <c r="C7" s="70"/>
      <c r="D7" s="70"/>
    </row>
    <row r="8" spans="2:6" x14ac:dyDescent="0.2">
      <c r="C8" s="70"/>
      <c r="D8" s="70"/>
    </row>
    <row r="9" spans="2:6" x14ac:dyDescent="0.2">
      <c r="C9" s="69"/>
    </row>
    <row r="10" spans="2:6" x14ac:dyDescent="0.2">
      <c r="C10" s="69"/>
    </row>
    <row r="11" spans="2:6" x14ac:dyDescent="0.2">
      <c r="C11" s="69"/>
    </row>
    <row r="12" spans="2:6" x14ac:dyDescent="0.2">
      <c r="C12" s="69"/>
    </row>
    <row r="13" spans="2:6" x14ac:dyDescent="0.2">
      <c r="C13" s="70"/>
    </row>
    <row r="14" spans="2:6" ht="24" x14ac:dyDescent="0.2">
      <c r="B14" s="181" t="str" cm="1">
        <f t="array" ref="B14:B67">TypeHere_Wages</f>
        <v/>
      </c>
      <c r="C14" s="63" t="s">
        <v>83</v>
      </c>
      <c r="D14" s="64" t="s">
        <v>84</v>
      </c>
      <c r="E14" s="64" t="s">
        <v>85</v>
      </c>
      <c r="F14" s="116" t="s">
        <v>86</v>
      </c>
    </row>
    <row r="15" spans="2:6" x14ac:dyDescent="0.2">
      <c r="B15" s="181" t="str">
        <v/>
      </c>
      <c r="C15" s="119" t="s">
        <v>87</v>
      </c>
      <c r="D15" s="120">
        <v>2021</v>
      </c>
      <c r="E15" s="117">
        <v>30.03</v>
      </c>
      <c r="F15" s="117">
        <f>IFERROR(tbl_Wages[[#This Row],[Wage in price year of data source (without overhead)]]*INDEX(tbl_CPI[Index], MATCH(PriceYear, tbl_CPI[Year], 0))/INDEX(tbl_CPI[Index], MATCH(tbl_Wages[[#This Row],[Price year of data source]], tbl_CPI[Year], 0)), "")</f>
        <v>33.317182203389827</v>
      </c>
    </row>
    <row r="16" spans="2:6" x14ac:dyDescent="0.2">
      <c r="B16" s="181" t="str">
        <v/>
      </c>
      <c r="C16" s="119" t="s">
        <v>88</v>
      </c>
      <c r="D16" s="120">
        <v>2021</v>
      </c>
      <c r="E16" s="117">
        <v>49</v>
      </c>
      <c r="F16" s="117">
        <f>IFERROR(tbl_Wages[[#This Row],[Wage in price year of data source (without overhead)]]*INDEX(tbl_CPI[Index], MATCH(PriceYear, tbl_CPI[Year], 0))/INDEX(tbl_CPI[Index], MATCH(tbl_Wages[[#This Row],[Price year of data source]], tbl_CPI[Year], 0)), "")</f>
        <v>54.363700564971751</v>
      </c>
    </row>
    <row r="17" spans="2:6" x14ac:dyDescent="0.2">
      <c r="B17" s="181" t="str">
        <v/>
      </c>
      <c r="C17" s="119" t="s">
        <v>89</v>
      </c>
      <c r="D17" s="120">
        <v>2021</v>
      </c>
      <c r="E17" s="117">
        <v>57.52</v>
      </c>
      <c r="F17" s="117">
        <f>IFERROR(tbl_Wages[[#This Row],[Wage in price year of data source (without overhead)]]*INDEX(tbl_CPI[Index], MATCH(PriceYear, tbl_CPI[Year], 0))/INDEX(tbl_CPI[Index], MATCH(tbl_Wages[[#This Row],[Price year of data source]], tbl_CPI[Year], 0)), "")</f>
        <v>63.816327683615818</v>
      </c>
    </row>
    <row r="18" spans="2:6" x14ac:dyDescent="0.2">
      <c r="B18" s="181" t="str">
        <v/>
      </c>
      <c r="C18" s="119" t="s">
        <v>90</v>
      </c>
      <c r="D18" s="120">
        <v>2021</v>
      </c>
      <c r="E18" s="117">
        <v>52.98</v>
      </c>
      <c r="F18" s="117">
        <f>IFERROR(tbl_Wages[[#This Row],[Wage in price year of data source (without overhead)]]*INDEX(tbl_CPI[Index], MATCH(PriceYear, tbl_CPI[Year], 0))/INDEX(tbl_CPI[Index], MATCH(tbl_Wages[[#This Row],[Price year of data source]], tbl_CPI[Year], 0)), "")</f>
        <v>58.779364406779656</v>
      </c>
    </row>
    <row r="19" spans="2:6" x14ac:dyDescent="0.2">
      <c r="B19" s="181" t="str">
        <v/>
      </c>
      <c r="C19" s="119" t="s">
        <v>91</v>
      </c>
      <c r="D19" s="120">
        <v>2021</v>
      </c>
      <c r="E19" s="117">
        <v>39.28</v>
      </c>
      <c r="F19" s="117">
        <f>IFERROR(tbl_Wages[[#This Row],[Wage in price year of data source (without overhead)]]*INDEX(tbl_CPI[Index], MATCH(PriceYear, tbl_CPI[Year], 0))/INDEX(tbl_CPI[Index], MATCH(tbl_Wages[[#This Row],[Price year of data source]], tbl_CPI[Year], 0)), "")</f>
        <v>43.579717514124297</v>
      </c>
    </row>
    <row r="20" spans="2:6" x14ac:dyDescent="0.2">
      <c r="B20" s="181" t="str">
        <v/>
      </c>
      <c r="C20" s="119" t="s">
        <v>92</v>
      </c>
      <c r="D20" s="120">
        <v>2021</v>
      </c>
      <c r="E20" s="117">
        <v>46.16</v>
      </c>
      <c r="F20" s="117">
        <f>IFERROR(tbl_Wages[[#This Row],[Wage in price year of data source (without overhead)]]*INDEX(tbl_CPI[Index], MATCH(PriceYear, tbl_CPI[Year], 0))/INDEX(tbl_CPI[Index], MATCH(tbl_Wages[[#This Row],[Price year of data source]], tbl_CPI[Year], 0)), "")</f>
        <v>51.21282485875706</v>
      </c>
    </row>
    <row r="21" spans="2:6" x14ac:dyDescent="0.2">
      <c r="B21" s="181" t="str">
        <v/>
      </c>
      <c r="C21" s="119" t="s">
        <v>93</v>
      </c>
      <c r="D21" s="120">
        <v>2021</v>
      </c>
      <c r="E21" s="117">
        <v>29.87</v>
      </c>
      <c r="F21" s="117">
        <f>IFERROR(tbl_Wages[[#This Row],[Wage in price year of data source (without overhead)]]*INDEX(tbl_CPI[Index], MATCH(PriceYear, tbl_CPI[Year], 0))/INDEX(tbl_CPI[Index], MATCH(tbl_Wages[[#This Row],[Price year of data source]], tbl_CPI[Year], 0)), "")</f>
        <v>33.139668079096047</v>
      </c>
    </row>
    <row r="22" spans="2:6" x14ac:dyDescent="0.2">
      <c r="B22" s="181" t="str">
        <v/>
      </c>
      <c r="C22" s="119" t="s">
        <v>94</v>
      </c>
      <c r="D22" s="120">
        <v>2021</v>
      </c>
      <c r="E22" s="117">
        <v>39.11</v>
      </c>
      <c r="F22" s="117">
        <f>IFERROR(tbl_Wages[[#This Row],[Wage in price year of data source (without overhead)]]*INDEX(tbl_CPI[Index], MATCH(PriceYear, tbl_CPI[Year], 0))/INDEX(tbl_CPI[Index], MATCH(tbl_Wages[[#This Row],[Price year of data source]], tbl_CPI[Year], 0)), "")</f>
        <v>43.391108757062149</v>
      </c>
    </row>
    <row r="23" spans="2:6" x14ac:dyDescent="0.2">
      <c r="B23" s="181" t="str">
        <v/>
      </c>
      <c r="C23" s="119" t="s">
        <v>95</v>
      </c>
      <c r="D23" s="120">
        <v>2021</v>
      </c>
      <c r="E23" s="117">
        <v>28.89</v>
      </c>
      <c r="F23" s="117">
        <f>IFERROR(tbl_Wages[[#This Row],[Wage in price year of data source (without overhead)]]*INDEX(tbl_CPI[Index], MATCH(PriceYear, tbl_CPI[Year], 0))/INDEX(tbl_CPI[Index], MATCH(tbl_Wages[[#This Row],[Price year of data source]], tbl_CPI[Year], 0)), "")</f>
        <v>32.052394067796612</v>
      </c>
    </row>
    <row r="24" spans="2:6" x14ac:dyDescent="0.2">
      <c r="B24" s="181" t="str">
        <v/>
      </c>
      <c r="C24" s="119" t="s">
        <v>96</v>
      </c>
      <c r="D24" s="120">
        <v>2021</v>
      </c>
      <c r="E24" s="117">
        <v>29.32</v>
      </c>
      <c r="F24" s="117">
        <f>IFERROR(tbl_Wages[[#This Row],[Wage in price year of data source (without overhead)]]*INDEX(tbl_CPI[Index], MATCH(PriceYear, tbl_CPI[Year], 0))/INDEX(tbl_CPI[Index], MATCH(tbl_Wages[[#This Row],[Price year of data source]], tbl_CPI[Year], 0)), "")</f>
        <v>32.529463276836154</v>
      </c>
    </row>
    <row r="25" spans="2:6" x14ac:dyDescent="0.2">
      <c r="B25" s="181" t="str">
        <v/>
      </c>
      <c r="C25" s="119" t="s">
        <v>97</v>
      </c>
      <c r="D25" s="120">
        <v>2021</v>
      </c>
      <c r="E25" s="117">
        <v>23.37</v>
      </c>
      <c r="F25" s="117">
        <f>IFERROR(tbl_Wages[[#This Row],[Wage in price year of data source (without overhead)]]*INDEX(tbl_CPI[Index], MATCH(PriceYear, tbl_CPI[Year], 0))/INDEX(tbl_CPI[Index], MATCH(tbl_Wages[[#This Row],[Price year of data source]], tbl_CPI[Year], 0)), "")</f>
        <v>25.92815677966102</v>
      </c>
    </row>
    <row r="26" spans="2:6" x14ac:dyDescent="0.2">
      <c r="B26" s="181" t="str">
        <v/>
      </c>
      <c r="C26" s="119" t="s">
        <v>98</v>
      </c>
      <c r="D26" s="120">
        <v>2021</v>
      </c>
      <c r="E26" s="117">
        <v>23.84</v>
      </c>
      <c r="F26" s="117">
        <f>IFERROR(tbl_Wages[[#This Row],[Wage in price year of data source (without overhead)]]*INDEX(tbl_CPI[Index], MATCH(PriceYear, tbl_CPI[Year], 0))/INDEX(tbl_CPI[Index], MATCH(tbl_Wages[[#This Row],[Price year of data source]], tbl_CPI[Year], 0)), "")</f>
        <v>26.44960451977401</v>
      </c>
    </row>
    <row r="27" spans="2:6" x14ac:dyDescent="0.2">
      <c r="B27" s="181" t="str">
        <v/>
      </c>
      <c r="C27" s="119" t="s">
        <v>99</v>
      </c>
      <c r="D27" s="120">
        <v>2021</v>
      </c>
      <c r="E27" s="117">
        <v>39.99</v>
      </c>
      <c r="F27" s="117">
        <f>IFERROR(tbl_Wages[[#This Row],[Wage in price year of data source (without overhead)]]*INDEX(tbl_CPI[Index], MATCH(PriceYear, tbl_CPI[Year], 0))/INDEX(tbl_CPI[Index], MATCH(tbl_Wages[[#This Row],[Price year of data source]], tbl_CPI[Year], 0)), "")</f>
        <v>44.36743644067797</v>
      </c>
    </row>
    <row r="28" spans="2:6" x14ac:dyDescent="0.2">
      <c r="B28" s="181" t="str">
        <v/>
      </c>
      <c r="C28" s="119" t="s">
        <v>100</v>
      </c>
      <c r="D28" s="120">
        <v>2021</v>
      </c>
      <c r="E28" s="117">
        <v>43.84</v>
      </c>
      <c r="F28" s="117">
        <f>IFERROR(tbl_Wages[[#This Row],[Wage in price year of data source (without overhead)]]*INDEX(tbl_CPI[Index], MATCH(PriceYear, tbl_CPI[Year], 0))/INDEX(tbl_CPI[Index], MATCH(tbl_Wages[[#This Row],[Price year of data source]], tbl_CPI[Year], 0)), "")</f>
        <v>48.638870056497176</v>
      </c>
    </row>
    <row r="29" spans="2:6" x14ac:dyDescent="0.2">
      <c r="B29" s="181" t="str">
        <v/>
      </c>
      <c r="C29" s="119" t="s">
        <v>101</v>
      </c>
      <c r="D29" s="120">
        <v>2021</v>
      </c>
      <c r="E29" s="117">
        <v>33.28</v>
      </c>
      <c r="F29" s="117">
        <f>IFERROR(tbl_Wages[[#This Row],[Wage in price year of data source (without overhead)]]*INDEX(tbl_CPI[Index], MATCH(PriceYear, tbl_CPI[Year], 0))/INDEX(tbl_CPI[Index], MATCH(tbl_Wages[[#This Row],[Price year of data source]], tbl_CPI[Year], 0)), "")</f>
        <v>36.922937853107342</v>
      </c>
    </row>
    <row r="30" spans="2:6" x14ac:dyDescent="0.2">
      <c r="B30" s="181" t="str">
        <v/>
      </c>
      <c r="C30" s="119" t="s">
        <v>102</v>
      </c>
      <c r="D30" s="120">
        <v>2021</v>
      </c>
      <c r="E30" s="117">
        <v>31.85</v>
      </c>
      <c r="F30" s="117">
        <f>IFERROR(tbl_Wages[[#This Row],[Wage in price year of data source (without overhead)]]*INDEX(tbl_CPI[Index], MATCH(PriceYear, tbl_CPI[Year], 0))/INDEX(tbl_CPI[Index], MATCH(tbl_Wages[[#This Row],[Price year of data source]], tbl_CPI[Year], 0)), "")</f>
        <v>35.336405367231642</v>
      </c>
    </row>
    <row r="31" spans="2:6" x14ac:dyDescent="0.2">
      <c r="B31" s="181" t="str">
        <v/>
      </c>
      <c r="C31" s="119" t="s">
        <v>103</v>
      </c>
      <c r="D31" s="120">
        <v>2021</v>
      </c>
      <c r="E31" s="117">
        <v>39.590000000000003</v>
      </c>
      <c r="F31" s="117">
        <f>IFERROR(tbl_Wages[[#This Row],[Wage in price year of data source (without overhead)]]*INDEX(tbl_CPI[Index], MATCH(PriceYear, tbl_CPI[Year], 0))/INDEX(tbl_CPI[Index], MATCH(tbl_Wages[[#This Row],[Price year of data source]], tbl_CPI[Year], 0)), "")</f>
        <v>43.923651129943501</v>
      </c>
    </row>
    <row r="32" spans="2:6" x14ac:dyDescent="0.2">
      <c r="B32" s="181" t="str">
        <v/>
      </c>
      <c r="C32" s="119" t="s">
        <v>104</v>
      </c>
      <c r="D32" s="120">
        <v>2021</v>
      </c>
      <c r="E32" s="117">
        <v>41.61</v>
      </c>
      <c r="F32" s="117">
        <f>IFERROR(tbl_Wages[[#This Row],[Wage in price year of data source (without overhead)]]*INDEX(tbl_CPI[Index], MATCH(PriceYear, tbl_CPI[Year], 0))/INDEX(tbl_CPI[Index], MATCH(tbl_Wages[[#This Row],[Price year of data source]], tbl_CPI[Year], 0)), "")</f>
        <v>46.164766949152543</v>
      </c>
    </row>
    <row r="33" spans="2:6" x14ac:dyDescent="0.2">
      <c r="B33" s="181" t="str">
        <v/>
      </c>
      <c r="C33" s="119" t="s">
        <v>105</v>
      </c>
      <c r="D33" s="120">
        <v>2021</v>
      </c>
      <c r="E33" s="117">
        <v>29.79</v>
      </c>
      <c r="F33" s="117">
        <f>IFERROR(tbl_Wages[[#This Row],[Wage in price year of data source (without overhead)]]*INDEX(tbl_CPI[Index], MATCH(PriceYear, tbl_CPI[Year], 0))/INDEX(tbl_CPI[Index], MATCH(tbl_Wages[[#This Row],[Price year of data source]], tbl_CPI[Year], 0)), "")</f>
        <v>33.050911016949151</v>
      </c>
    </row>
    <row r="34" spans="2:6" x14ac:dyDescent="0.2">
      <c r="B34" s="181" t="str">
        <v/>
      </c>
      <c r="C34" s="119" t="s">
        <v>106</v>
      </c>
      <c r="D34" s="120">
        <v>2021</v>
      </c>
      <c r="E34" s="117">
        <v>22.16</v>
      </c>
      <c r="F34" s="117">
        <f>IFERROR(tbl_Wages[[#This Row],[Wage in price year of data source (without overhead)]]*INDEX(tbl_CPI[Index], MATCH(PriceYear, tbl_CPI[Year], 0))/INDEX(tbl_CPI[Index], MATCH(tbl_Wages[[#This Row],[Price year of data source]], tbl_CPI[Year], 0)), "")</f>
        <v>24.585706214689264</v>
      </c>
    </row>
    <row r="35" spans="2:6" x14ac:dyDescent="0.2">
      <c r="B35" s="181" t="str">
        <v/>
      </c>
      <c r="C35" s="119" t="s">
        <v>107</v>
      </c>
      <c r="D35" s="120">
        <v>2021</v>
      </c>
      <c r="E35" s="117">
        <v>35.36</v>
      </c>
      <c r="F35" s="117">
        <f>IFERROR(tbl_Wages[[#This Row],[Wage in price year of data source (without overhead)]]*INDEX(tbl_CPI[Index], MATCH(PriceYear, tbl_CPI[Year], 0))/INDEX(tbl_CPI[Index], MATCH(tbl_Wages[[#This Row],[Price year of data source]], tbl_CPI[Year], 0)), "")</f>
        <v>39.23062146892655</v>
      </c>
    </row>
    <row r="36" spans="2:6" x14ac:dyDescent="0.2">
      <c r="B36" s="181" t="str">
        <v/>
      </c>
      <c r="C36" s="119" t="s">
        <v>108</v>
      </c>
      <c r="D36" s="120">
        <v>2021</v>
      </c>
      <c r="E36" s="117">
        <v>39.97</v>
      </c>
      <c r="F36" s="117">
        <f>IFERROR(tbl_Wages[[#This Row],[Wage in price year of data source (without overhead)]]*INDEX(tbl_CPI[Index], MATCH(PriceYear, tbl_CPI[Year], 0))/INDEX(tbl_CPI[Index], MATCH(tbl_Wages[[#This Row],[Price year of data source]], tbl_CPI[Year], 0)), "")</f>
        <v>44.345247175141239</v>
      </c>
    </row>
    <row r="37" spans="2:6" x14ac:dyDescent="0.2">
      <c r="B37" s="181" t="str">
        <v/>
      </c>
      <c r="C37" s="119" t="s">
        <v>109</v>
      </c>
      <c r="D37" s="120">
        <v>2021</v>
      </c>
      <c r="E37" s="117">
        <v>40.03</v>
      </c>
      <c r="F37" s="117">
        <f>IFERROR(tbl_Wages[[#This Row],[Wage in price year of data source (without overhead)]]*INDEX(tbl_CPI[Index], MATCH(PriceYear, tbl_CPI[Year], 0))/INDEX(tbl_CPI[Index], MATCH(tbl_Wages[[#This Row],[Price year of data source]], tbl_CPI[Year], 0)), "")</f>
        <v>44.411814971751411</v>
      </c>
    </row>
    <row r="38" spans="2:6" x14ac:dyDescent="0.2">
      <c r="B38" s="181" t="str">
        <v/>
      </c>
      <c r="C38" s="119" t="s">
        <v>110</v>
      </c>
      <c r="D38" s="120">
        <v>2021</v>
      </c>
      <c r="E38" s="117">
        <v>23.9</v>
      </c>
      <c r="F38" s="117">
        <f>IFERROR(tbl_Wages[[#This Row],[Wage in price year of data source (without overhead)]]*INDEX(tbl_CPI[Index], MATCH(PriceYear, tbl_CPI[Year], 0))/INDEX(tbl_CPI[Index], MATCH(tbl_Wages[[#This Row],[Price year of data source]], tbl_CPI[Year], 0)), "")</f>
        <v>26.516172316384178</v>
      </c>
    </row>
    <row r="39" spans="2:6" x14ac:dyDescent="0.2">
      <c r="B39" s="181" t="str">
        <v/>
      </c>
      <c r="C39" s="119" t="s">
        <v>111</v>
      </c>
      <c r="D39" s="120">
        <v>2021</v>
      </c>
      <c r="E39" s="117">
        <v>44.35</v>
      </c>
      <c r="F39" s="117">
        <f>IFERROR(tbl_Wages[[#This Row],[Wage in price year of data source (without overhead)]]*INDEX(tbl_CPI[Index], MATCH(PriceYear, tbl_CPI[Year], 0))/INDEX(tbl_CPI[Index], MATCH(tbl_Wages[[#This Row],[Price year of data source]], tbl_CPI[Year], 0)), "")</f>
        <v>49.204696327683621</v>
      </c>
    </row>
    <row r="40" spans="2:6" x14ac:dyDescent="0.2">
      <c r="B40" s="181" t="str">
        <v/>
      </c>
      <c r="C40" s="119" t="s">
        <v>112</v>
      </c>
      <c r="D40" s="120">
        <v>2021</v>
      </c>
      <c r="E40" s="117">
        <v>23.86</v>
      </c>
      <c r="F40" s="117">
        <f>IFERROR(tbl_Wages[[#This Row],[Wage in price year of data source (without overhead)]]*INDEX(tbl_CPI[Index], MATCH(PriceYear, tbl_CPI[Year], 0))/INDEX(tbl_CPI[Index], MATCH(tbl_Wages[[#This Row],[Price year of data source]], tbl_CPI[Year], 0)), "")</f>
        <v>26.471793785310734</v>
      </c>
    </row>
    <row r="41" spans="2:6" x14ac:dyDescent="0.2">
      <c r="B41" s="181" t="str">
        <v/>
      </c>
      <c r="C41" s="119" t="s">
        <v>113</v>
      </c>
      <c r="D41" s="120">
        <v>2021</v>
      </c>
      <c r="E41" s="117">
        <v>28.38</v>
      </c>
      <c r="F41" s="117">
        <f>IFERROR(tbl_Wages[[#This Row],[Wage in price year of data source (without overhead)]]*INDEX(tbl_CPI[Index], MATCH(PriceYear, tbl_CPI[Year], 0))/INDEX(tbl_CPI[Index], MATCH(tbl_Wages[[#This Row],[Price year of data source]], tbl_CPI[Year], 0)), "")</f>
        <v>31.486567796610167</v>
      </c>
    </row>
    <row r="42" spans="2:6" x14ac:dyDescent="0.2">
      <c r="B42" s="181" t="str">
        <v/>
      </c>
      <c r="C42" s="119" t="s">
        <v>114</v>
      </c>
      <c r="D42" s="120">
        <v>2021</v>
      </c>
      <c r="E42" s="117">
        <v>32.799999999999997</v>
      </c>
      <c r="F42" s="117">
        <f>IFERROR(tbl_Wages[[#This Row],[Wage in price year of data source (without overhead)]]*INDEX(tbl_CPI[Index], MATCH(PriceYear, tbl_CPI[Year], 0))/INDEX(tbl_CPI[Index], MATCH(tbl_Wages[[#This Row],[Price year of data source]], tbl_CPI[Year], 0)), "")</f>
        <v>36.390395480225983</v>
      </c>
    </row>
    <row r="43" spans="2:6" x14ac:dyDescent="0.2">
      <c r="B43" s="181" t="str">
        <v/>
      </c>
      <c r="C43" s="119" t="s">
        <v>115</v>
      </c>
      <c r="D43" s="120">
        <v>2021</v>
      </c>
      <c r="E43" s="117">
        <v>26.58</v>
      </c>
      <c r="F43" s="117">
        <f>IFERROR(tbl_Wages[[#This Row],[Wage in price year of data source (without overhead)]]*INDEX(tbl_CPI[Index], MATCH(PriceYear, tbl_CPI[Year], 0))/INDEX(tbl_CPI[Index], MATCH(tbl_Wages[[#This Row],[Price year of data source]], tbl_CPI[Year], 0)), "")</f>
        <v>29.489533898305083</v>
      </c>
    </row>
    <row r="44" spans="2:6" x14ac:dyDescent="0.2">
      <c r="B44" s="181" t="str">
        <v/>
      </c>
      <c r="C44" s="119" t="s">
        <v>116</v>
      </c>
      <c r="D44" s="120">
        <v>2021</v>
      </c>
      <c r="E44" s="117">
        <v>19.55</v>
      </c>
      <c r="F44" s="117">
        <f>IFERROR(tbl_Wages[[#This Row],[Wage in price year of data source (without overhead)]]*INDEX(tbl_CPI[Index], MATCH(PriceYear, tbl_CPI[Year], 0))/INDEX(tbl_CPI[Index], MATCH(tbl_Wages[[#This Row],[Price year of data source]], tbl_CPI[Year], 0)), "")</f>
        <v>21.690007062146893</v>
      </c>
    </row>
    <row r="45" spans="2:6" x14ac:dyDescent="0.2">
      <c r="B45" s="181" t="str">
        <v/>
      </c>
      <c r="C45" s="119" t="s">
        <v>117</v>
      </c>
      <c r="D45" s="120">
        <v>2021</v>
      </c>
      <c r="E45" s="117">
        <v>25.49</v>
      </c>
      <c r="F45" s="117">
        <f>IFERROR(tbl_Wages[[#This Row],[Wage in price year of data source (without overhead)]]*INDEX(tbl_CPI[Index], MATCH(PriceYear, tbl_CPI[Year], 0))/INDEX(tbl_CPI[Index], MATCH(tbl_Wages[[#This Row],[Price year of data source]], tbl_CPI[Year], 0)), "")</f>
        <v>28.280218926553673</v>
      </c>
    </row>
    <row r="46" spans="2:6" x14ac:dyDescent="0.2">
      <c r="B46" s="181" t="str">
        <v/>
      </c>
      <c r="C46" s="119" t="s">
        <v>118</v>
      </c>
      <c r="D46" s="120">
        <v>2021</v>
      </c>
      <c r="E46" s="117">
        <v>19.84</v>
      </c>
      <c r="F46" s="117">
        <f>IFERROR(tbl_Wages[[#This Row],[Wage in price year of data source (without overhead)]]*INDEX(tbl_CPI[Index], MATCH(PriceYear, tbl_CPI[Year], 0))/INDEX(tbl_CPI[Index], MATCH(tbl_Wages[[#This Row],[Price year of data source]], tbl_CPI[Year], 0)), "")</f>
        <v>22.01175141242938</v>
      </c>
    </row>
    <row r="47" spans="2:6" x14ac:dyDescent="0.2">
      <c r="B47" s="181" t="str">
        <v/>
      </c>
      <c r="C47" s="119" t="s">
        <v>119</v>
      </c>
      <c r="D47" s="120">
        <v>2021</v>
      </c>
      <c r="E47" s="117">
        <v>20.440000000000001</v>
      </c>
      <c r="F47" s="117">
        <f>IFERROR(tbl_Wages[[#This Row],[Wage in price year of data source (without overhead)]]*INDEX(tbl_CPI[Index], MATCH(PriceYear, tbl_CPI[Year], 0))/INDEX(tbl_CPI[Index], MATCH(tbl_Wages[[#This Row],[Price year of data source]], tbl_CPI[Year], 0)), "")</f>
        <v>22.677429378531077</v>
      </c>
    </row>
    <row r="48" spans="2:6" x14ac:dyDescent="0.2">
      <c r="B48" s="181" t="str">
        <v/>
      </c>
      <c r="C48" s="119" t="s">
        <v>120</v>
      </c>
      <c r="D48" s="120">
        <v>2021</v>
      </c>
      <c r="E48" s="117">
        <v>19.670000000000002</v>
      </c>
      <c r="F48" s="117">
        <f>IFERROR(tbl_Wages[[#This Row],[Wage in price year of data source (without overhead)]]*INDEX(tbl_CPI[Index], MATCH(PriceYear, tbl_CPI[Year], 0))/INDEX(tbl_CPI[Index], MATCH(tbl_Wages[[#This Row],[Price year of data source]], tbl_CPI[Year], 0)), "")</f>
        <v>21.823142655367235</v>
      </c>
    </row>
    <row r="49" spans="2:6" x14ac:dyDescent="0.2">
      <c r="B49" s="181" t="str">
        <v/>
      </c>
      <c r="C49" s="119" t="s">
        <v>121</v>
      </c>
      <c r="D49" s="120">
        <v>2021</v>
      </c>
      <c r="E49" s="117">
        <v>15.45</v>
      </c>
      <c r="F49" s="117">
        <f>IFERROR(tbl_Wages[[#This Row],[Wage in price year of data source (without overhead)]]*INDEX(tbl_CPI[Index], MATCH(PriceYear, tbl_CPI[Year], 0))/INDEX(tbl_CPI[Index], MATCH(tbl_Wages[[#This Row],[Price year of data source]], tbl_CPI[Year], 0)), "")</f>
        <v>17.141207627118643</v>
      </c>
    </row>
    <row r="50" spans="2:6" x14ac:dyDescent="0.2">
      <c r="B50" s="181" t="str">
        <v/>
      </c>
      <c r="C50" s="119" t="s">
        <v>122</v>
      </c>
      <c r="D50" s="120">
        <v>2021</v>
      </c>
      <c r="E50" s="117">
        <v>17.54</v>
      </c>
      <c r="F50" s="117">
        <f>IFERROR(tbl_Wages[[#This Row],[Wage in price year of data source (without overhead)]]*INDEX(tbl_CPI[Index], MATCH(PriceYear, tbl_CPI[Year], 0))/INDEX(tbl_CPI[Index], MATCH(tbl_Wages[[#This Row],[Price year of data source]], tbl_CPI[Year], 0)), "")</f>
        <v>19.459985875706213</v>
      </c>
    </row>
    <row r="51" spans="2:6" x14ac:dyDescent="0.2">
      <c r="B51" s="181" t="str">
        <v/>
      </c>
      <c r="C51" s="119" t="s">
        <v>123</v>
      </c>
      <c r="D51" s="120">
        <v>2021</v>
      </c>
      <c r="E51" s="117">
        <v>28.67</v>
      </c>
      <c r="F51" s="117">
        <f>IFERROR(tbl_Wages[[#This Row],[Wage in price year of data source (without overhead)]]*INDEX(tbl_CPI[Index], MATCH(PriceYear, tbl_CPI[Year], 0))/INDEX(tbl_CPI[Index], MATCH(tbl_Wages[[#This Row],[Price year of data source]], tbl_CPI[Year], 0)), "")</f>
        <v>31.808312146892654</v>
      </c>
    </row>
    <row r="52" spans="2:6" x14ac:dyDescent="0.2">
      <c r="B52" s="181" t="str">
        <v/>
      </c>
      <c r="C52" s="119" t="s">
        <v>124</v>
      </c>
      <c r="D52" s="120">
        <v>2021</v>
      </c>
      <c r="E52" s="117">
        <v>32.07</v>
      </c>
      <c r="F52" s="117">
        <f>IFERROR(tbl_Wages[[#This Row],[Wage in price year of data source (without overhead)]]*INDEX(tbl_CPI[Index], MATCH(PriceYear, tbl_CPI[Year], 0))/INDEX(tbl_CPI[Index], MATCH(tbl_Wages[[#This Row],[Price year of data source]], tbl_CPI[Year], 0)), "")</f>
        <v>35.580487288135593</v>
      </c>
    </row>
    <row r="53" spans="2:6" x14ac:dyDescent="0.2">
      <c r="B53" s="181" t="str">
        <v/>
      </c>
      <c r="C53" s="119" t="s">
        <v>125</v>
      </c>
      <c r="D53" s="120">
        <v>2021</v>
      </c>
      <c r="E53" s="117">
        <v>32.549999999999997</v>
      </c>
      <c r="F53" s="117">
        <f>IFERROR(tbl_Wages[[#This Row],[Wage in price year of data source (without overhead)]]*INDEX(tbl_CPI[Index], MATCH(PriceYear, tbl_CPI[Year], 0))/INDEX(tbl_CPI[Index], MATCH(tbl_Wages[[#This Row],[Price year of data source]], tbl_CPI[Year], 0)), "")</f>
        <v>36.113029661016945</v>
      </c>
    </row>
    <row r="54" spans="2:6" x14ac:dyDescent="0.2">
      <c r="B54" s="181" t="str">
        <v/>
      </c>
      <c r="C54" s="119" t="s">
        <v>126</v>
      </c>
      <c r="D54" s="120">
        <v>2021</v>
      </c>
      <c r="E54" s="117">
        <v>22.13</v>
      </c>
      <c r="F54" s="117">
        <f>IFERROR(tbl_Wages[[#This Row],[Wage in price year of data source (without overhead)]]*INDEX(tbl_CPI[Index], MATCH(PriceYear, tbl_CPI[Year], 0))/INDEX(tbl_CPI[Index], MATCH(tbl_Wages[[#This Row],[Price year of data source]], tbl_CPI[Year], 0)), "")</f>
        <v>24.552422316384177</v>
      </c>
    </row>
    <row r="55" spans="2:6" x14ac:dyDescent="0.2">
      <c r="B55" s="181" t="str">
        <v/>
      </c>
      <c r="C55" s="119" t="s">
        <v>127</v>
      </c>
      <c r="D55" s="120">
        <v>2021</v>
      </c>
      <c r="E55" s="117">
        <v>24.95</v>
      </c>
      <c r="F55" s="117">
        <f>IFERROR(tbl_Wages[[#This Row],[Wage in price year of data source (without overhead)]]*INDEX(tbl_CPI[Index], MATCH(PriceYear, tbl_CPI[Year], 0))/INDEX(tbl_CPI[Index], MATCH(tbl_Wages[[#This Row],[Price year of data source]], tbl_CPI[Year], 0)), "")</f>
        <v>27.681108757062145</v>
      </c>
    </row>
    <row r="56" spans="2:6" x14ac:dyDescent="0.2">
      <c r="B56" s="181" t="str">
        <v/>
      </c>
      <c r="C56" s="119" t="s">
        <v>128</v>
      </c>
      <c r="D56" s="120">
        <v>2021</v>
      </c>
      <c r="E56" s="117">
        <v>24.09</v>
      </c>
      <c r="F56" s="117">
        <f>IFERROR(tbl_Wages[[#This Row],[Wage in price year of data source (without overhead)]]*INDEX(tbl_CPI[Index], MATCH(PriceYear, tbl_CPI[Year], 0))/INDEX(tbl_CPI[Index], MATCH(tbl_Wages[[#This Row],[Price year of data source]], tbl_CPI[Year], 0)), "")</f>
        <v>26.726970338983051</v>
      </c>
    </row>
    <row r="57" spans="2:6" x14ac:dyDescent="0.2">
      <c r="B57" s="181" t="str">
        <v/>
      </c>
      <c r="C57" s="119" t="s">
        <v>129</v>
      </c>
      <c r="D57" s="120">
        <v>2021</v>
      </c>
      <c r="E57" s="117">
        <v>25.98</v>
      </c>
      <c r="F57" s="117">
        <f>IFERROR(tbl_Wages[[#This Row],[Wage in price year of data source (without overhead)]]*INDEX(tbl_CPI[Index], MATCH(PriceYear, tbl_CPI[Year], 0))/INDEX(tbl_CPI[Index], MATCH(tbl_Wages[[#This Row],[Price year of data source]], tbl_CPI[Year], 0)), "")</f>
        <v>28.82385593220339</v>
      </c>
    </row>
    <row r="58" spans="2:6" x14ac:dyDescent="0.2">
      <c r="B58" s="181" t="str">
        <v/>
      </c>
      <c r="C58" s="119" t="s">
        <v>130</v>
      </c>
      <c r="D58" s="120">
        <v>2021</v>
      </c>
      <c r="E58" s="117">
        <v>35.32</v>
      </c>
      <c r="F58" s="117">
        <f>IFERROR(tbl_Wages[[#This Row],[Wage in price year of data source (without overhead)]]*INDEX(tbl_CPI[Index], MATCH(PriceYear, tbl_CPI[Year], 0))/INDEX(tbl_CPI[Index], MATCH(tbl_Wages[[#This Row],[Price year of data source]], tbl_CPI[Year], 0)), "")</f>
        <v>39.186242937853109</v>
      </c>
    </row>
    <row r="59" spans="2:6" x14ac:dyDescent="0.2">
      <c r="B59" s="181" t="str">
        <v/>
      </c>
      <c r="C59" s="119" t="s">
        <v>131</v>
      </c>
      <c r="D59" s="120">
        <v>2021</v>
      </c>
      <c r="E59" s="117">
        <v>20.99</v>
      </c>
      <c r="F59" s="117">
        <f>IFERROR(tbl_Wages[[#This Row],[Wage in price year of data source (without overhead)]]*INDEX(tbl_CPI[Index], MATCH(PriceYear, tbl_CPI[Year], 0))/INDEX(tbl_CPI[Index], MATCH(tbl_Wages[[#This Row],[Price year of data source]], tbl_CPI[Year], 0)), "")</f>
        <v>23.28763418079096</v>
      </c>
    </row>
    <row r="60" spans="2:6" x14ac:dyDescent="0.2">
      <c r="B60" s="181" t="str">
        <v/>
      </c>
      <c r="C60" s="119" t="s">
        <v>132</v>
      </c>
      <c r="D60" s="120">
        <v>2021</v>
      </c>
      <c r="E60" s="117">
        <v>21.16</v>
      </c>
      <c r="F60" s="117">
        <f>IFERROR(tbl_Wages[[#This Row],[Wage in price year of data source (without overhead)]]*INDEX(tbl_CPI[Index], MATCH(PriceYear, tbl_CPI[Year], 0))/INDEX(tbl_CPI[Index], MATCH(tbl_Wages[[#This Row],[Price year of data source]], tbl_CPI[Year], 0)), "")</f>
        <v>23.476242937853108</v>
      </c>
    </row>
    <row r="61" spans="2:6" x14ac:dyDescent="0.2">
      <c r="B61" s="181" t="str">
        <v/>
      </c>
      <c r="C61" s="119" t="s">
        <v>133</v>
      </c>
      <c r="D61" s="120">
        <v>2021</v>
      </c>
      <c r="E61" s="117">
        <v>24.85</v>
      </c>
      <c r="F61" s="117">
        <f>IFERROR(tbl_Wages[[#This Row],[Wage in price year of data source (without overhead)]]*INDEX(tbl_CPI[Index], MATCH(PriceYear, tbl_CPI[Year], 0))/INDEX(tbl_CPI[Index], MATCH(tbl_Wages[[#This Row],[Price year of data source]], tbl_CPI[Year], 0)), "")</f>
        <v>27.570162429378531</v>
      </c>
    </row>
    <row r="62" spans="2:6" x14ac:dyDescent="0.2">
      <c r="B62" s="181" t="str">
        <v/>
      </c>
      <c r="C62" s="119" t="s">
        <v>134</v>
      </c>
      <c r="D62" s="120">
        <v>2021</v>
      </c>
      <c r="E62" s="117">
        <v>35.049999999999997</v>
      </c>
      <c r="F62" s="117">
        <f>IFERROR(tbl_Wages[[#This Row],[Wage in price year of data source (without overhead)]]*INDEX(tbl_CPI[Index], MATCH(PriceYear, tbl_CPI[Year], 0))/INDEX(tbl_CPI[Index], MATCH(tbl_Wages[[#This Row],[Price year of data source]], tbl_CPI[Year], 0)), "")</f>
        <v>38.88668785310734</v>
      </c>
    </row>
    <row r="63" spans="2:6" x14ac:dyDescent="0.2">
      <c r="B63" s="181" t="str">
        <v/>
      </c>
      <c r="C63" s="119" t="s">
        <v>135</v>
      </c>
      <c r="D63" s="120">
        <v>2021</v>
      </c>
      <c r="E63" s="117">
        <v>22.37</v>
      </c>
      <c r="F63" s="117">
        <f>IFERROR(tbl_Wages[[#This Row],[Wage in price year of data source (without overhead)]]*INDEX(tbl_CPI[Index], MATCH(PriceYear, tbl_CPI[Year], 0))/INDEX(tbl_CPI[Index], MATCH(tbl_Wages[[#This Row],[Price year of data source]], tbl_CPI[Year], 0)), "")</f>
        <v>24.818693502824861</v>
      </c>
    </row>
    <row r="64" spans="2:6" x14ac:dyDescent="0.2">
      <c r="B64" s="181" t="str">
        <v/>
      </c>
      <c r="C64" s="119" t="s">
        <v>136</v>
      </c>
      <c r="D64" s="120">
        <v>2021</v>
      </c>
      <c r="E64" s="117">
        <v>22.94</v>
      </c>
      <c r="F64" s="117">
        <f>IFERROR(tbl_Wages[[#This Row],[Wage in price year of data source (without overhead)]]*INDEX(tbl_CPI[Index], MATCH(PriceYear, tbl_CPI[Year], 0))/INDEX(tbl_CPI[Index], MATCH(tbl_Wages[[#This Row],[Price year of data source]], tbl_CPI[Year], 0)), "")</f>
        <v>25.451087570621471</v>
      </c>
    </row>
    <row r="65" spans="2:6" x14ac:dyDescent="0.2">
      <c r="B65" s="181" t="str">
        <v/>
      </c>
      <c r="C65" s="121" t="s">
        <v>137</v>
      </c>
      <c r="D65" s="120">
        <v>2021</v>
      </c>
      <c r="E65" s="117">
        <v>19.61</v>
      </c>
      <c r="F65" s="118">
        <f>IFERROR(tbl_Wages[[#This Row],[Wage in price year of data source (without overhead)]]*INDEX(tbl_CPI[Index], MATCH(PriceYear, tbl_CPI[Year], 0))/INDEX(tbl_CPI[Index], MATCH(tbl_Wages[[#This Row],[Price year of data source]], tbl_CPI[Year], 0)), "")</f>
        <v>21.756574858757062</v>
      </c>
    </row>
    <row r="66" spans="2:6" x14ac:dyDescent="0.2">
      <c r="B66" s="181" t="str">
        <v>Type Here ⮚</v>
      </c>
      <c r="C66" s="65"/>
      <c r="D66" s="66"/>
      <c r="E66" s="67"/>
      <c r="F66" s="117" t="str">
        <f>IFERROR(tbl_Wages[[#This Row],[Wage in price year of data source (without overhead)]]*INDEX(tbl_CPI[Index], MATCH(PriceYear, tbl_CPI[Year], 0))/INDEX(tbl_CPI[Index], MATCH(tbl_Wages[[#This Row],[Price year of data source]], tbl_CPI[Year], 0)), "")</f>
        <v/>
      </c>
    </row>
    <row r="67" spans="2:6" x14ac:dyDescent="0.2">
      <c r="B67" s="181" t="str">
        <v/>
      </c>
    </row>
  </sheetData>
  <hyperlinks>
    <hyperlink ref="C2" r:id="rId1" xr:uid="{0CE5D298-E226-48E4-90B7-38EE3A92C6FE}"/>
  </hyperlinks>
  <pageMargins left="0.7" right="0.7" top="0.75" bottom="0.75" header="0.3" footer="0.3"/>
  <pageSetup orientation="portrait" horizontalDpi="90" verticalDpi="90" r:id="rId2"/>
  <ignoredErrors>
    <ignoredError sqref="D15:D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7A598DB7-9598-4A9C-9D02-5EF9D214A73D}">
          <x14:formula1>
            <xm:f>_xlfn.ANCHORARRAY(Controls!$F$2)</xm:f>
          </x14:formula1>
          <xm:sqref>D15:D66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FC000"/>
  </sheetPr>
  <dimension ref="B2:D37"/>
  <sheetViews>
    <sheetView showGridLines="0" zoomScale="90" zoomScaleNormal="90" workbookViewId="0"/>
  </sheetViews>
  <sheetFormatPr defaultColWidth="9.140625" defaultRowHeight="12" x14ac:dyDescent="0.2"/>
  <cols>
    <col min="1" max="1" width="2.42578125" style="16" customWidth="1"/>
    <col min="2" max="2" width="12.140625" style="16" customWidth="1"/>
    <col min="3" max="3" width="11" style="16" customWidth="1"/>
    <col min="4" max="4" width="11.5703125" style="16" customWidth="1"/>
    <col min="5" max="5" width="15.42578125" style="16" customWidth="1"/>
    <col min="6" max="6" width="11.28515625" style="16" bestFit="1" customWidth="1"/>
    <col min="7" max="7" width="15.5703125" style="16" customWidth="1"/>
    <col min="8" max="16384" width="9.140625" style="16"/>
  </cols>
  <sheetData>
    <row r="2" spans="2:4" x14ac:dyDescent="0.2">
      <c r="C2" s="81" t="s">
        <v>138</v>
      </c>
    </row>
    <row r="14" spans="2:4" x14ac:dyDescent="0.2">
      <c r="C14" s="82" t="s">
        <v>139</v>
      </c>
      <c r="D14" s="83" t="s">
        <v>140</v>
      </c>
    </row>
    <row r="15" spans="2:4" x14ac:dyDescent="0.2">
      <c r="B15" s="16" t="str" cm="1">
        <f t="array" ref="B15:B37">_xlfn.VSTACK(IF(tbl_CPI[Year]=tbl_CPI[Year], ""), "Type Here ⮚")</f>
        <v/>
      </c>
      <c r="C15" s="84">
        <v>2002</v>
      </c>
      <c r="D15" s="85">
        <v>100</v>
      </c>
    </row>
    <row r="16" spans="2:4" x14ac:dyDescent="0.2">
      <c r="B16" s="16" t="str">
        <v/>
      </c>
      <c r="C16" s="84">
        <v>2003</v>
      </c>
      <c r="D16" s="85">
        <v>102.8</v>
      </c>
    </row>
    <row r="17" spans="2:4" x14ac:dyDescent="0.2">
      <c r="B17" s="16" t="str">
        <v/>
      </c>
      <c r="C17" s="84">
        <v>2004</v>
      </c>
      <c r="D17" s="85">
        <v>104.7</v>
      </c>
    </row>
    <row r="18" spans="2:4" x14ac:dyDescent="0.2">
      <c r="B18" s="16" t="str">
        <v/>
      </c>
      <c r="C18" s="84">
        <v>2005</v>
      </c>
      <c r="D18" s="85">
        <v>107</v>
      </c>
    </row>
    <row r="19" spans="2:4" x14ac:dyDescent="0.2">
      <c r="B19" s="16" t="str">
        <v/>
      </c>
      <c r="C19" s="84">
        <v>2006</v>
      </c>
      <c r="D19" s="85">
        <v>109.1</v>
      </c>
    </row>
    <row r="20" spans="2:4" x14ac:dyDescent="0.2">
      <c r="B20" s="16" t="str">
        <v/>
      </c>
      <c r="C20" s="84">
        <v>2007</v>
      </c>
      <c r="D20" s="85">
        <v>111.5</v>
      </c>
    </row>
    <row r="21" spans="2:4" x14ac:dyDescent="0.2">
      <c r="B21" s="16" t="str">
        <v/>
      </c>
      <c r="C21" s="84">
        <v>2008</v>
      </c>
      <c r="D21" s="85">
        <v>114.1</v>
      </c>
    </row>
    <row r="22" spans="2:4" x14ac:dyDescent="0.2">
      <c r="B22" s="16" t="str">
        <v/>
      </c>
      <c r="C22" s="84">
        <v>2009</v>
      </c>
      <c r="D22" s="85">
        <v>114.4</v>
      </c>
    </row>
    <row r="23" spans="2:4" x14ac:dyDescent="0.2">
      <c r="B23" s="16" t="str">
        <v/>
      </c>
      <c r="C23" s="84">
        <v>2010</v>
      </c>
      <c r="D23" s="85">
        <v>116.5</v>
      </c>
    </row>
    <row r="24" spans="2:4" x14ac:dyDescent="0.2">
      <c r="B24" s="16" t="str">
        <v/>
      </c>
      <c r="C24" s="84">
        <v>2011</v>
      </c>
      <c r="D24" s="85">
        <v>119.9</v>
      </c>
    </row>
    <row r="25" spans="2:4" x14ac:dyDescent="0.2">
      <c r="B25" s="16" t="str">
        <v/>
      </c>
      <c r="C25" s="84">
        <v>2012</v>
      </c>
      <c r="D25" s="85">
        <v>121.7</v>
      </c>
    </row>
    <row r="26" spans="2:4" x14ac:dyDescent="0.2">
      <c r="B26" s="16" t="str">
        <v/>
      </c>
      <c r="C26" s="84">
        <v>2013</v>
      </c>
      <c r="D26" s="85">
        <v>122.8</v>
      </c>
    </row>
    <row r="27" spans="2:4" x14ac:dyDescent="0.2">
      <c r="B27" s="16" t="str">
        <v/>
      </c>
      <c r="C27" s="84">
        <v>2014</v>
      </c>
      <c r="D27" s="85">
        <v>125.2</v>
      </c>
    </row>
    <row r="28" spans="2:4" x14ac:dyDescent="0.2">
      <c r="B28" s="16" t="str">
        <v/>
      </c>
      <c r="C28" s="84">
        <v>2015</v>
      </c>
      <c r="D28" s="85">
        <v>126.6</v>
      </c>
    </row>
    <row r="29" spans="2:4" x14ac:dyDescent="0.2">
      <c r="B29" s="16" t="str">
        <v/>
      </c>
      <c r="C29" s="84">
        <v>2016</v>
      </c>
      <c r="D29" s="85">
        <v>128.4</v>
      </c>
    </row>
    <row r="30" spans="2:4" x14ac:dyDescent="0.2">
      <c r="B30" s="16" t="str">
        <v/>
      </c>
      <c r="C30" s="84">
        <v>2017</v>
      </c>
      <c r="D30" s="85">
        <v>130.4</v>
      </c>
    </row>
    <row r="31" spans="2:4" x14ac:dyDescent="0.2">
      <c r="B31" s="16" t="str">
        <v/>
      </c>
      <c r="C31" s="84">
        <v>2018</v>
      </c>
      <c r="D31" s="85">
        <v>133.4</v>
      </c>
    </row>
    <row r="32" spans="2:4" x14ac:dyDescent="0.2">
      <c r="B32" s="16" t="str">
        <v/>
      </c>
      <c r="C32" s="84">
        <v>2019</v>
      </c>
      <c r="D32" s="85">
        <v>136</v>
      </c>
    </row>
    <row r="33" spans="2:4" x14ac:dyDescent="0.2">
      <c r="B33" s="16" t="str">
        <v/>
      </c>
      <c r="C33" s="84">
        <v>2020</v>
      </c>
      <c r="D33" s="85">
        <v>137</v>
      </c>
    </row>
    <row r="34" spans="2:4" x14ac:dyDescent="0.2">
      <c r="B34" s="16" t="str">
        <v/>
      </c>
      <c r="C34" s="84">
        <v>2021</v>
      </c>
      <c r="D34" s="85">
        <v>141.6</v>
      </c>
    </row>
    <row r="35" spans="2:4" x14ac:dyDescent="0.2">
      <c r="B35" s="16" t="str">
        <v/>
      </c>
      <c r="C35" s="84">
        <v>2022</v>
      </c>
      <c r="D35" s="85">
        <v>151.19999999999999</v>
      </c>
    </row>
    <row r="36" spans="2:4" x14ac:dyDescent="0.2">
      <c r="B36" s="16" t="str">
        <v/>
      </c>
      <c r="C36" s="86">
        <v>2023</v>
      </c>
      <c r="D36" s="87">
        <v>157.1</v>
      </c>
    </row>
    <row r="37" spans="2:4" x14ac:dyDescent="0.2">
      <c r="B37" s="16"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Q2"/>
  <sheetViews>
    <sheetView zoomScale="80" zoomScaleNormal="80" workbookViewId="0"/>
  </sheetViews>
  <sheetFormatPr defaultRowHeight="15" x14ac:dyDescent="0.25"/>
  <cols>
    <col min="1" max="1" width="12.85546875" style="31" customWidth="1"/>
    <col min="2" max="2" width="30.5703125" style="31" customWidth="1"/>
    <col min="3" max="3" width="20.85546875" style="31" customWidth="1"/>
    <col min="4" max="4" width="9.85546875" style="31" customWidth="1"/>
    <col min="5" max="5" width="7" style="31" customWidth="1"/>
    <col min="6" max="6" width="9.5703125" style="31" customWidth="1"/>
    <col min="7" max="7" width="14.28515625" style="31" customWidth="1"/>
    <col min="8" max="8" width="21.5703125" style="31" customWidth="1"/>
    <col min="9" max="9" width="12.5703125" customWidth="1"/>
    <col min="10" max="13" width="17.140625" customWidth="1"/>
    <col min="14" max="16" width="18.140625" customWidth="1"/>
    <col min="17" max="17" width="18.7109375" customWidth="1"/>
    <col min="18" max="18" width="17.85546875" customWidth="1"/>
    <col min="19" max="22" width="17.140625" customWidth="1"/>
    <col min="23" max="23" width="17.42578125" customWidth="1"/>
    <col min="24" max="24" width="19.7109375" customWidth="1"/>
    <col min="25" max="25" width="12.7109375" customWidth="1"/>
    <col min="27" max="27" width="26.140625" style="31" bestFit="1" customWidth="1"/>
    <col min="28" max="28" width="23.85546875" bestFit="1" customWidth="1"/>
    <col min="29" max="29" width="11.85546875" customWidth="1"/>
    <col min="30" max="30" width="13.42578125" customWidth="1"/>
    <col min="31" max="33" width="18" customWidth="1"/>
    <col min="34" max="34" width="17.42578125" customWidth="1"/>
    <col min="35" max="35" width="13" customWidth="1"/>
    <col min="36" max="36" width="13.42578125" customWidth="1"/>
    <col min="37" max="37" width="13.28515625" customWidth="1"/>
    <col min="38" max="38" width="15.28515625" customWidth="1"/>
    <col min="39" max="40" width="14.7109375" customWidth="1"/>
    <col min="41" max="41" width="28.28515625" customWidth="1"/>
    <col min="42" max="43" width="15.28515625" customWidth="1"/>
  </cols>
  <sheetData>
    <row r="1" spans="1:43" s="8" customFormat="1" ht="79.5" customHeight="1" x14ac:dyDescent="0.25">
      <c r="A1" s="4" t="s">
        <v>141</v>
      </c>
      <c r="B1" s="6" t="s">
        <v>142</v>
      </c>
      <c r="C1" s="6" t="s">
        <v>143</v>
      </c>
      <c r="D1" s="6" t="s">
        <v>144</v>
      </c>
      <c r="E1" s="6" t="s">
        <v>139</v>
      </c>
      <c r="F1" s="6" t="s">
        <v>145</v>
      </c>
      <c r="G1" s="6" t="s">
        <v>146</v>
      </c>
      <c r="H1" s="6" t="s">
        <v>147</v>
      </c>
      <c r="I1" s="6" t="s">
        <v>33</v>
      </c>
      <c r="J1" s="6" t="s">
        <v>148</v>
      </c>
      <c r="K1" s="6" t="s">
        <v>149</v>
      </c>
      <c r="L1" s="6" t="s">
        <v>150</v>
      </c>
      <c r="M1" s="6" t="str">
        <f>"Cost Per Event ("&amp;PriceYear&amp;" CAD)"</f>
        <v>Cost Per Event (2023 CAD)</v>
      </c>
      <c r="N1" s="4" t="s">
        <v>151</v>
      </c>
      <c r="O1" s="4" t="s">
        <v>152</v>
      </c>
      <c r="P1" s="4" t="s">
        <v>153</v>
      </c>
      <c r="Q1" s="6" t="s">
        <v>154</v>
      </c>
      <c r="R1" s="6" t="s">
        <v>155</v>
      </c>
      <c r="S1" s="6" t="s">
        <v>156</v>
      </c>
      <c r="T1" s="6" t="s">
        <v>157</v>
      </c>
      <c r="U1" s="6" t="s">
        <v>158</v>
      </c>
      <c r="V1" s="6" t="s">
        <v>159</v>
      </c>
      <c r="W1" s="6" t="s">
        <v>160</v>
      </c>
      <c r="X1" s="6" t="s">
        <v>161</v>
      </c>
      <c r="Y1"/>
      <c r="Z1"/>
      <c r="AA1" s="6" t="s">
        <v>162</v>
      </c>
      <c r="AB1" s="4" t="s">
        <v>163</v>
      </c>
      <c r="AC1" s="4" t="s">
        <v>164</v>
      </c>
      <c r="AD1" s="4" t="s">
        <v>165</v>
      </c>
      <c r="AE1" s="4" t="s">
        <v>166</v>
      </c>
      <c r="AF1" s="4" t="s">
        <v>167</v>
      </c>
      <c r="AG1" s="4" t="s">
        <v>168</v>
      </c>
      <c r="AH1" s="4" t="s">
        <v>169</v>
      </c>
      <c r="AI1" s="4" t="s">
        <v>170</v>
      </c>
      <c r="AJ1" s="4" t="s">
        <v>171</v>
      </c>
      <c r="AK1" s="4" t="s">
        <v>172</v>
      </c>
      <c r="AL1" s="4" t="s">
        <v>173</v>
      </c>
      <c r="AM1" s="4" t="s">
        <v>174</v>
      </c>
      <c r="AN1" s="140"/>
      <c r="AO1" s="143" t="str">
        <f>"{undiscounted, discounted}:"</f>
        <v>{undiscounted, discounted}:</v>
      </c>
      <c r="AP1" s="8" t="str" cm="1">
        <f t="array" ref="AP1">IFERROR(_xlfn.LET(_xlpm.x, TRANSPOSE(_xlfn._xlws.FILTER(tbl_Stakeholders[Stakeholder Group], tbl_Stakeholders[Stakeholder Group]&lt;&gt;"")), _xlfn.HSTACK(_xlpm.x&amp;" Undiscounted Impacts", _xlpm.x&amp;" Discounted Impacts")), "")</f>
        <v/>
      </c>
    </row>
    <row r="2" spans="1:43" x14ac:dyDescent="0.25">
      <c r="A2" s="31" t="str" cm="1">
        <f t="array" ref="A2">repeat(Periods, ActivityNumber)</f>
        <v/>
      </c>
      <c r="B2" s="31" t="str" cm="1">
        <f t="array" ref="B2">IFERROR(INDEX(tbl_Activities[Activity],_xlfn.ANCHORARRAY( A2)), "")</f>
        <v/>
      </c>
      <c r="C2" s="31" t="str" cm="1">
        <f t="array" ref="C2">IFERROR(INDEX(tbl_Activities[Administrative or Compliance],_xlfn.ANCHORARRAY( A2)), "")</f>
        <v/>
      </c>
      <c r="D2" s="31" t="str" cm="1">
        <f t="array" ref="D2">IFERROR(INDEX(tbl_Activities[In or Out],_xlfn.ANCHORARRAY( A2)), "")</f>
        <v/>
      </c>
      <c r="E2" s="31" t="str" cm="1">
        <f t="array" ref="E2">IFERROR(
IF(_xlfn.ANCHORARRAY(AA2)="Start of Analytical Period", YearOfRegistration,
IF(_xlfn.ANCHORARRAY(AA2)="End of Analytical Period", YearOfRegistration+Timeperiod-1,_xlfn.ANCHORARRAY(
AA2)))
+ROUNDUP(IF(_xlfn.ANCHORARRAY(F2)/_xlfn.ANCHORARRAY(G2)-1&lt;0, 0,_xlfn.ANCHORARRAY( F2)/_xlfn.ANCHORARRAY(G2)-1), 0), "")</f>
        <v/>
      </c>
      <c r="F2" s="31"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32" t="str" cm="1">
        <f t="array" ref="G2">IFERROR(IF(INDEX(tbl_Activities[Upfront or  Ongoing],_xlfn.ANCHORARRAY( A2))="Ongoing", INDEX(tbl_Activities[Annual Frequency],_xlfn.ANCHORARRAY( A2)), 1), "")</f>
        <v/>
      </c>
      <c r="H2" s="31" t="str" cm="1">
        <f t="array" ref="H2">IFERROR(INDEX(tbl_Activities[Affected Stakeholder Group],_xlfn.ANCHORARRAY( A2)), "")</f>
        <v/>
      </c>
      <c r="I2" s="21" t="str" cm="1">
        <f t="array" ref="I2">IFERROR(INDEX(tbl_Activities[Percent Affected],_xlfn.ANCHORARRAY( A2)), "")</f>
        <v/>
      </c>
      <c r="J2" s="7" cm="1">
        <f t="array" ref="J2">_xlfn.MAKEARRAY(OutputRows, 1, _xlfn.LAMBDA(_xlpm.r,_xlpm.c,
IFERROR(IF(INDEX(_xlfn.ANCHORARRAY(AB2), _xlpm.r)="All Businesses", 0, IF(INDEX(_xlfn.ANCHORARRAY(AB2), _xlpm.r)="Med/Large Businesses", 0, IF(INDEX(_xlfn.ANCHORARRAY(AB2), _xlpm.r)="Small Businesses", 0,
INDEX(_xlfn.TAKE(_xlfn.DROP(I:I,MATCH($I$1,I:I,0)),_xlfn.XMATCH(,_xlfn.DROP(I:I,MATCH($I$1,I:I,0)))-1), _xlpm.r)*
IF(AND(INDEX(_xlfn.ANCHORARRAY(AC2), _xlpm.r)=1, INDEX(_xlfn.ANCHORARRAY(H2), _xlpm.r)="All Groups"), SUMPRODUCT(NonBusinessCounts, (1+NonBusinessGrowthRates)^INDEX(_xlfn.ANCHORARRAY(AD2), _xlpm.r)),
IF(AND(INDEX(_xlfn.ANCHORARRAY(AC2), _xlpm.r)=1, NOT(INDEX(_xlfn.ANCHORARRAY(H2), _xlpm.r)="All Groups")), INDEX(_xlfn.ANCHORARRAY(AH2), _xlpm.r)*(1+INDEX(_xlfn.ANCHORARRAY(AI2), _xlpm.r))^INDEX(_xlfn.ANCHORARRAY(AD2), _xlpm.r),
IF(AND(INDEX(_xlfn.ANCHORARRAY(AC2), _xlpm.r)=2, INDEX(_xlfn.ANCHORARRAY(H2), _xlpm.r)="All Groups"), SUMPRODUCT(NonBusinessCounts, (1+NonBusinessGrowthRates)^IF(NonBusinessGrowthRates&lt;0, INDEX(_xlfn.ANCHORARRAY(AD2), _xlpm.r), INDEX(_xlfn.ANCHORARRAY(AE2), _xlpm.r))),
IF(AND(INDEX(_xlfn.ANCHORARRAY(AC2), _xlpm.r)=2, NOT(INDEX(_xlfn.ANCHORARRAY(H2), _xlpm.r)="All Groups")), INDEX(_xlfn.ANCHORARRAY(AH2), _xlpm.r)*(1+INDEX(_xlfn.ANCHORARRAY(AI2), _xlpm.r))^IF(INDEX(_xlfn.ANCHORARRAY(AI2), _xlpm.r)&lt;0, INDEX(_xlfn.ANCHORARRAY(AD2), _xlpm.r), INDEX(_xlfn.ANCHORARRAY(AE2), _xlpm.r)),
IF(AND(INDEX(_xlfn.ANCHORARRAY(AC2), _xlpm.r)=3, INDEX(_xlfn.ANCHORARRAY(H2), _xlpm.r)="All Groups"), SUMPRODUCT(NonBusinessCounts, (1+IF(NonBusinessGrowthRates&lt;0, 0, NonBusinessGrowthRates))^INDEX(_xlfn.ANCHORARRAY(AD2), _xlpm.r)-(1+IF(NonBusinessGrowthRates&lt;0, 0, NonBusinessGrowthRates))^INDEX(_xlfn.ANCHORARRAY(AE2), _xlpm.r)),
IF(AND(INDEX(_xlfn.ANCHORARRAY(AC2), _xlpm.r)=3, NOT(INDEX(_xlfn.ANCHORARRAY(H2), _xlpm.r)="All Groups")), IF(INDEX(_xlfn.ANCHORARRAY(AI2), _xlpm.r)&lt;0, 0, INDEX(_xlfn.ANCHORARRAY(AH2), _xlpm.r)*((1+INDEX(_xlfn.ANCHORARRAY(AI2), _xlpm.r))^INDEX(_xlfn.ANCHORARRAY(AD2), _xlpm.r)-(1+INDEX(_xlfn.ANCHORARRAY(AI2), _xlpm.r))^INDEX(_xlfn.ANCHORARRAY(AE2), _xlpm.r))),
IF(AND(INDEX(_xlfn.ANCHORARRAY(AC2), _xlpm.r)=4, INDEX(_xlfn.ANCHORARRAY(H2), _xlpm.r)="All Groups"), IF(INDEX(_xlfn.ANCHORARRAY(F2), _xlpm.r)=0, SUMPRODUCT(NonBusinessCounts, (1+NonBusinessGrowthRates)^INDEX(_xlfn.ANCHORARRAY(AD2), _xlpm.r)), _xlfn.LET(_xlpm.g, (1+IF(NonBusinessGrowthRates&lt;0, 0, NonBusinessGrowthRates)), SUMPRODUCT(NonBusinessCounts, _xlpm.g^INDEX(_xlfn.ANCHORARRAY(AD2), _xlpm.r)-_xlpm.g^(INDEX(_xlfn.ANCHORARRAY(AD2), _xlpm.r-1))))),
IF(AND(INDEX(_xlfn.ANCHORARRAY(AC2), _xlpm.r)=4, NOT(INDEX(_xlfn.ANCHORARRAY(H2), _xlpm.r)="All Groups")), IF(INDEX(_xlfn.ANCHORARRAY(F2), _xlpm.r)=0, INDEX(_xlfn.ANCHORARRAY(AH2), _xlpm.r)*(1+INDEX(_xlfn.ANCHORARRAY(AI2), _xlpm.r))^INDEX(_xlfn.ANCHORARRAY(AD2), _xlpm.r), IF(INDEX(_xlfn.ANCHORARRAY(AI2), _xlpm.r)&lt;0, 0, INDEX(_xlfn.ANCHORARRAY(AH2), _xlpm.r)*((1+INDEX(_xlfn.ANCHORARRAY(AI2), _xlpm.r))^INDEX(_xlfn.ANCHORARRAY(AD2), _xlpm.r)-(1+INDEX(_xlfn.ANCHORARRAY(AI2), _xlpm.r))^INDEX(_xlfn.ANCHORARRAY(AD2), _xlpm.r-1)))),
IF(AND(INDEX(_xlfn.ANCHORARRAY(AC2), _xlpm.r)=5, INDEX(_xlfn.ANCHORARRAY(H2), _xlpm.r)="All Groups"), IF(INDEX(_xlfn.ANCHORARRAY(F2), _xlpm.r)&gt;0, 0, SUMPRODUCT(NonBusinessCounts, (1+NonBusinessGrowthRates)^INDEX(_xlfn.ANCHORARRAY(AD2), _xlpm.r))),
IF(AND(INDEX(_xlfn.ANCHORARRAY(AC2), _xlpm.r)=5, NOT(INDEX(_xlfn.ANCHORARRAY(H2), _xlpm.r)="All Groups")), IF(INDEX(_xlfn.ANCHORARRAY(F2), _xlpm.r)&gt;0, 0, INDEX(_xlfn.ANCHORARRAY(AH2), _xlpm.r)*(1+INDEX(_xlfn.ANCHORARRAY(AI2), _xlpm.r))^INDEX(_xlfn.ANCHORARRAY(AD2), _xlpm.r)),
IF(AND(INDEX(_xlfn.ANCHORARRAY(AC2), _xlpm.r)=6, INDEX(_xlfn.ANCHORARRAY(H2), _xlpm.r)="All Groups"), IF(INDEX(_xlfn.ANCHORARRAY(F2), _xlpm.r)=0, 0, _xlfn.LET(_xlpm.g, (1+IF(NonBusinessGrowthRates&lt;0, 0, NonBusinessGrowthRates)), SUMPRODUCT(NonBusinessCounts, _xlpm.g^INDEX(_xlfn.ANCHORARRAY(AD2), _xlpm.r)-_xlpm.g^(INDEX(_xlfn.ANCHORARRAY(AD2), _xlpm.r-1))))),
IF(AND(INDEX(_xlfn.ANCHORARRAY(AC2), _xlpm.r)=6, NOT(INDEX(_xlfn.ANCHORARRAY(H2), _xlpm.r)="All Groups")), IF(INDEX(_xlfn.ANCHORARRAY(F2), _xlpm.r)=0, 0, IF(INDEX(_xlfn.ANCHORARRAY(AI2), _xlpm.r)&lt;0, 0, INDEX(_xlfn.ANCHORARRAY(AH2), _xlpm.r)*((1+INDEX(_xlfn.ANCHORARRAY(AI2), _xlpm.r))^INDEX(_xlfn.ANCHORARRAY(AD2), _xlpm.r)-(1+INDEX(_xlfn.ANCHORARRAY(AI2), _xlpm.r))^INDEX(_xlfn.ANCHORARRAY(AD2), _xlpm.r-1)))),
0))))))))))))))), 0)))</f>
        <v>0</v>
      </c>
      <c r="K2" s="7" cm="1">
        <f t="array" ref="K2">_xlfn.MAKEARRAY(OutputRows, 1, _xlfn.LAMBDA(_xlpm.r,_xlpm.c,
IFERROR(IF(INDEX(_xlfn.ANCHORARRAY(AB2), _xlpm.r)="Med/Large Businesses", 0, IF(INDEX(_xlfn.ANCHORARRAY(AB2), _xlpm.r)="All Non-Businesses", 0,
INDEX(_xlfn.TAKE(_xlfn.DROP(I:I,MATCH($I$1,I:I,0)),_xlfn.XMATCH(,_xlfn.DROP(I:I,MATCH($I$1,I:I,0)))-1), _xlpm.r)*
IF(AND(INDEX(_xlfn.ANCHORARRAY(AC2), _xlpm.r)=1, INDEX(_xlfn.ANCHORARRAY(H2), _xlpm.r)="All Groups"), SUMPRODUCT(SmallBusinessCounts, (1+SmallBusinessGrowthRates)^INDEX(_xlfn.ANCHORARRAY(AD2), _xlpm.r)),
IF(AND(INDEX(_xlfn.ANCHORARRAY(AC2), _xlpm.r)=1, NOT(INDEX(_xlfn.ANCHORARRAY(H2), _xlpm.r)="All Groups")), INDEX(_xlfn.ANCHORARRAY(AJ2), _xlpm.r)*(1+INDEX(_xlfn.ANCHORARRAY(AK2), _xlpm.r))^INDEX(_xlfn.ANCHORARRAY(AD2), _xlpm.r),
IF(AND(INDEX(_xlfn.ANCHORARRAY(AC2), _xlpm.r)=2, INDEX(_xlfn.ANCHORARRAY(H2), _xlpm.r)="All Groups"), SUMPRODUCT(SmallBusinessCounts, (1+SmallBusinessGrowthRates)^IF(SmallBusinessGrowthRates&lt;0, INDEX(_xlfn.ANCHORARRAY(AD2), _xlpm.r), INDEX(_xlfn.ANCHORARRAY(AE2), _xlpm.r))),
IF(AND(INDEX(_xlfn.ANCHORARRAY(AC2), _xlpm.r)=2, NOT(INDEX(_xlfn.ANCHORARRAY(H2), _xlpm.r)="All Groups")), INDEX(_xlfn.ANCHORARRAY(AJ2), _xlpm.r)*(1+INDEX(_xlfn.ANCHORARRAY(AK2), _xlpm.r))^IF(INDEX(_xlfn.ANCHORARRAY(AK2), _xlpm.r)&lt;0, INDEX(_xlfn.ANCHORARRAY(AD2), _xlpm.r), INDEX(_xlfn.ANCHORARRAY(AE2), _xlpm.r)),
IF(AND(INDEX(_xlfn.ANCHORARRAY(AC2), _xlpm.r)=3, INDEX(_xlfn.ANCHORARRAY(H2), _xlpm.r)="All Groups"), SUMPRODUCT(SmallBusinessCounts, (1+IF(SmallBusinessGrowthRates&lt;0, 0, SmallBusinessGrowthRates))^INDEX(_xlfn.ANCHORARRAY(AD2), _xlpm.r)-(1+IF(SmallBusinessGrowthRates&lt;0, 0, SmallBusinessGrowthRates))^INDEX(_xlfn.ANCHORARRAY(AE2), _xlpm.r)),
IF(AND(INDEX(_xlfn.ANCHORARRAY(AC2), _xlpm.r)=3, NOT(INDEX(_xlfn.ANCHORARRAY(H2), _xlpm.r)="All Groups")), IF(INDEX(_xlfn.ANCHORARRAY(AK2), _xlpm.r)&lt;0, 0, INDEX(_xlfn.ANCHORARRAY(AJ2), _xlpm.r)*((1+INDEX(_xlfn.ANCHORARRAY(AK2), _xlpm.r))^INDEX(_xlfn.ANCHORARRAY(AD2), _xlpm.r)-(1+INDEX(_xlfn.ANCHORARRAY(AK2), _xlpm.r))^INDEX(_xlfn.ANCHORARRAY(AE2), _xlpm.r))),
IF(AND(INDEX(_xlfn.ANCHORARRAY(AC2), _xlpm.r)=4, INDEX(_xlfn.ANCHORARRAY(H2), _xlpm.r)="All Groups"), IF(INDEX(_xlfn.ANCHORARRAY(F2), _xlpm.r)=0, SUMPRODUCT(SmallBusinessCounts, (1+SmallBusinessGrowthRates)^INDEX(_xlfn.ANCHORARRAY(AD2), _xlpm.r)), _xlfn.LET(_xlpm.g, (1+IF(SmallBusinessGrowthRates&lt;0, 0, SmallBusinessGrowthRates)), SUMPRODUCT(SmallBusinessCounts, _xlpm.g^INDEX(_xlfn.ANCHORARRAY(AD2), _xlpm.r)-_xlpm.g^(INDEX(_xlfn.ANCHORARRAY(AD2), _xlpm.r-1))))),
IF(AND(INDEX(_xlfn.ANCHORARRAY(AC2), _xlpm.r)=4, NOT(INDEX(_xlfn.ANCHORARRAY(H2), _xlpm.r)="All Groups")), IF(INDEX(_xlfn.ANCHORARRAY(F2), _xlpm.r)=0, INDEX(_xlfn.ANCHORARRAY(AJ2), _xlpm.r)*(1+INDEX(_xlfn.ANCHORARRAY(AK2), _xlpm.r))^INDEX(_xlfn.ANCHORARRAY(AD2), _xlpm.r), IF(INDEX(_xlfn.ANCHORARRAY(AK2), _xlpm.r)&lt;0, 0, INDEX(_xlfn.ANCHORARRAY(AJ2), _xlpm.r)*((1+INDEX(_xlfn.ANCHORARRAY(AK2), _xlpm.r))^INDEX(_xlfn.ANCHORARRAY(AD2), _xlpm.r)-(1+INDEX(_xlfn.ANCHORARRAY(AK2), _xlpm.r))^INDEX(_xlfn.ANCHORARRAY(AD2), _xlpm.r-1)))),
IF(AND(INDEX(_xlfn.ANCHORARRAY(AC2), _xlpm.r)=5, INDEX(_xlfn.ANCHORARRAY(H2), _xlpm.r)="All Groups"), IF(INDEX(_xlfn.ANCHORARRAY(F2), _xlpm.r)&gt;0, 0, SUMPRODUCT(SmallBusinessCounts, (1+SmallBusinessGrowthRates)^INDEX(_xlfn.ANCHORARRAY(AD2), _xlpm.r))),
IF(AND(INDEX(_xlfn.ANCHORARRAY(AC2), _xlpm.r)=5, NOT(INDEX(_xlfn.ANCHORARRAY(H2), _xlpm.r)="All Groups")), IF(INDEX(_xlfn.ANCHORARRAY(F2), _xlpm.r)&gt;0, 0, INDEX(_xlfn.ANCHORARRAY(AJ2), _xlpm.r)*(1+INDEX(_xlfn.ANCHORARRAY(AK2), _xlpm.r))^INDEX(_xlfn.ANCHORARRAY(AD2), _xlpm.r)),
IF(AND(INDEX(_xlfn.ANCHORARRAY(AC2), _xlpm.r)=6, INDEX(_xlfn.ANCHORARRAY(H2), _xlpm.r)="All Groups"), IF(INDEX(_xlfn.ANCHORARRAY(F2), _xlpm.r)=0, 0, _xlfn.LET(_xlpm.g, (1+IF(SmallBusinessGrowthRates&lt;0, 0, SmallBusinessGrowthRates)), SUMPRODUCT(SmallBusinessCounts, _xlpm.g^INDEX(_xlfn.ANCHORARRAY(AD2), _xlpm.r)-_xlpm.g^(INDEX(_xlfn.ANCHORARRAY(AD2), _xlpm.r-1))))),
IF(AND(INDEX(_xlfn.ANCHORARRAY(AC2), _xlpm.r)=6, NOT(INDEX(_xlfn.ANCHORARRAY(H2), _xlpm.r)="All Groups")), IF(INDEX(_xlfn.ANCHORARRAY(F2), _xlpm.r)=0, 0, IF(INDEX(_xlfn.ANCHORARRAY(AK2), _xlpm.r)&lt;0, 0, INDEX(_xlfn.ANCHORARRAY(AJ2), _xlpm.r)*((1+INDEX(_xlfn.ANCHORARRAY(AK2), _xlpm.r))^INDEX(_xlfn.ANCHORARRAY(AD2), _xlpm.r)-(1+INDEX(_xlfn.ANCHORARRAY(AK2), _xlpm.r))^INDEX(_xlfn.ANCHORARRAY(AD2), _xlpm.r-1)))),
0)))))))))))))), 0)))</f>
        <v>0</v>
      </c>
      <c r="L2" cm="1">
        <f t="array" ref="L2">_xlfn.MAKEARRAY(OutputRows, 1, _xlfn.LAMBDA(_xlpm.r,_xlpm.c,
IFERROR(IF(INDEX(_xlfn.ANCHORARRAY(AB2), _xlpm.r)="Small Businesses", 0, IF(INDEX(_xlfn.ANCHORARRAY(AB2), _xlpm.r)="All Non-Businesses", 0,
INDEX(_xlfn.TAKE(_xlfn.DROP(I:I,MATCH($I$1,I:I,0)),_xlfn.XMATCH(,_xlfn.DROP(I:I,MATCH($I$1,I:I,0)))-1), _xlpm.r)*
IF(AND(INDEX(_xlfn.ANCHORARRAY(AC2), _xlpm.r)=1, INDEX(_xlfn.ANCHORARRAY(H2), _xlpm.r)="All Groups"), SUMPRODUCT(MedLargeBusinessCounts, (1+MedLargeBusinessGrowthRates)^INDEX(_xlfn.ANCHORARRAY(AD2), _xlpm.r)),
IF(AND(INDEX(_xlfn.ANCHORARRAY(AC2), _xlpm.r)=1, NOT(INDEX(_xlfn.ANCHORARRAY(H2), _xlpm.r)="All Groups")), INDEX(_xlfn.ANCHORARRAY(AL2), _xlpm.r)*(1+INDEX(_xlfn.ANCHORARRAY(AM2), _xlpm.r))^INDEX(_xlfn.ANCHORARRAY(AD2), _xlpm.r),
IF(AND(INDEX(_xlfn.ANCHORARRAY(AC2), _xlpm.r)=2, INDEX(_xlfn.ANCHORARRAY(H2), _xlpm.r)="All Groups"), SUMPRODUCT(MedLargeBusinessCounts, (1+MedLargeBusinessGrowthRates)^IF(MedLargeBusinessGrowthRates&lt;0, INDEX(_xlfn.ANCHORARRAY(AD2), _xlpm.r), INDEX(_xlfn.ANCHORARRAY(AE2), _xlpm.r))),
IF(AND(INDEX(_xlfn.ANCHORARRAY(AC2), _xlpm.r)=2, NOT(INDEX(_xlfn.ANCHORARRAY(H2), _xlpm.r)="All Groups")), INDEX(_xlfn.ANCHORARRAY(AL2), _xlpm.r)*(1+INDEX(_xlfn.ANCHORARRAY(AM2), _xlpm.r))^IF(INDEX(_xlfn.ANCHORARRAY(AM2), _xlpm.r)&lt;0, INDEX(_xlfn.ANCHORARRAY(AD2), _xlpm.r), INDEX(_xlfn.ANCHORARRAY(AE2), _xlpm.r)),
IF(AND(INDEX(_xlfn.ANCHORARRAY(AC2), _xlpm.r)=3, INDEX(_xlfn.ANCHORARRAY(H2), _xlpm.r)="All Groups"), SUMPRODUCT(MedLargeBusinessCounts, (1+IF(MedLargeBusinessGrowthRates&lt;0, 0, MedLargeBusinessGrowthRates))^INDEX(_xlfn.ANCHORARRAY(AD2), _xlpm.r)-(1+IF(MedLargeBusinessGrowthRates&lt;0, 0, MedLargeBusinessGrowthRates))^INDEX(_xlfn.ANCHORARRAY(AE2), _xlpm.r)),
IF(AND(INDEX(_xlfn.ANCHORARRAY(AC2), _xlpm.r)=3, NOT(INDEX(_xlfn.ANCHORARRAY(H2), _xlpm.r)="All Groups")), IF(INDEX(_xlfn.ANCHORARRAY(AM2), _xlpm.r)&lt;0, 0, INDEX(_xlfn.ANCHORARRAY(AL2), _xlpm.r)*((1+INDEX(_xlfn.ANCHORARRAY(AM2), _xlpm.r))^INDEX(_xlfn.ANCHORARRAY(AD2), _xlpm.r)-(1+INDEX(_xlfn.ANCHORARRAY(AM2), _xlpm.r))^INDEX(_xlfn.ANCHORARRAY(AE2), _xlpm.r))),
IF(AND(INDEX(_xlfn.ANCHORARRAY(AC2), _xlpm.r)=4, INDEX(_xlfn.ANCHORARRAY(H2), _xlpm.r)="All Groups"), IF(INDEX(_xlfn.ANCHORARRAY(F2), _xlpm.r)=0, SUMPRODUCT(MedLargeBusinessCounts, (1+MedLargeBusinessGrowthRates)^INDEX(_xlfn.ANCHORARRAY(AD2), _xlpm.r)), _xlfn.LET(_xlpm.g, (1+IF(MedLargeBusinessGrowthRates&lt;0, 0, MedLargeBusinessGrowthRates)), SUMPRODUCT(MedLargeBusinessCounts, _xlpm.g^INDEX(_xlfn.ANCHORARRAY(AD2), _xlpm.r)-_xlpm.g^(INDEX(_xlfn.ANCHORARRAY(AD2), _xlpm.r-1))))),
IF(AND(INDEX(_xlfn.ANCHORARRAY(AC2), _xlpm.r)=4, NOT(INDEX(_xlfn.ANCHORARRAY(H2), _xlpm.r)="All Groups")), IF(INDEX(_xlfn.ANCHORARRAY(F2), _xlpm.r)=0, INDEX(_xlfn.ANCHORARRAY(AL2), _xlpm.r)*(1+INDEX(_xlfn.ANCHORARRAY(AM2), _xlpm.r))^INDEX(_xlfn.ANCHORARRAY(AD2), _xlpm.r), IF(INDEX(_xlfn.ANCHORARRAY(AM2), _xlpm.r)&lt;0, 0, INDEX(_xlfn.ANCHORARRAY(AL2), _xlpm.r)*((1+INDEX(_xlfn.ANCHORARRAY(AM2), _xlpm.r))^INDEX(_xlfn.ANCHORARRAY(AD2), _xlpm.r)-(1+INDEX(_xlfn.ANCHORARRAY(AM2), _xlpm.r))^INDEX(_xlfn.ANCHORARRAY(AD2), _xlpm.r-1)))),
IF(AND(INDEX(_xlfn.ANCHORARRAY(AC2), _xlpm.r)=5, INDEX(_xlfn.ANCHORARRAY(H2), _xlpm.r)="All Groups"), IF(INDEX(_xlfn.ANCHORARRAY(F2), _xlpm.r)&gt;0, 0, SUMPRODUCT(MedLargeBusinessCounts, (1+MedLargeBusinessGrowthRates)^INDEX(_xlfn.ANCHORARRAY(AD2), _xlpm.r))),
IF(AND(INDEX(_xlfn.ANCHORARRAY(AC2), _xlpm.r)=5, NOT(INDEX(_xlfn.ANCHORARRAY(H2), _xlpm.r)="All Groups")), IF(INDEX(_xlfn.ANCHORARRAY(F2), _xlpm.r)&gt;0, 0, INDEX(_xlfn.ANCHORARRAY(AL2), _xlpm.r)*(1+INDEX(_xlfn.ANCHORARRAY(AM2), _xlpm.r))^INDEX(_xlfn.ANCHORARRAY(AD2), _xlpm.r)),
IF(AND(INDEX(_xlfn.ANCHORARRAY(AC2), _xlpm.r)=6, INDEX(_xlfn.ANCHORARRAY(H2), _xlpm.r)="All Groups"), IF(INDEX(_xlfn.ANCHORARRAY(F2), _xlpm.r)=0, 0, _xlfn.LET(_xlpm.g, (1+IF(MedLargeBusinessGrowthRates&lt;0, 0, MedLargeBusinessGrowthRates)), SUMPRODUCT(MedLargeBusinessCounts, _xlpm.g^INDEX(_xlfn.ANCHORARRAY(AD2), _xlpm.r)-_xlpm.g^(INDEX(_xlfn.ANCHORARRAY(AD2), _xlpm.r-1))))),
IF(AND(INDEX(_xlfn.ANCHORARRAY(AC2), _xlpm.r)=6, NOT(INDEX(_xlfn.ANCHORARRAY(H2), _xlpm.r)="All Groups")), IF(INDEX(_xlfn.ANCHORARRAY(F2), _xlpm.r)=0, 0, IF(INDEX(_xlfn.ANCHORARRAY(AM2), _xlpm.r)&lt;0, 0, INDEX(_xlfn.ANCHORARRAY(AL2), _xlpm.r)*((1+INDEX(_xlfn.ANCHORARRAY(AM2), _xlpm.r))^INDEX(_xlfn.ANCHORARRAY(AD2), _xlpm.r)-(1+INDEX(_xlfn.ANCHORARRAY(AM2), _xlpm.r))^INDEX(_xlfn.ANCHORARRAY(AD2), _xlpm.r-1)))),
0)))))))))))))), 0)))</f>
        <v>0</v>
      </c>
      <c r="M2" s="5" t="str" cm="1">
        <f t="array" ref="M2">IFERROR(
_xlfn.LET(
     _xlpm.InternalExternal, INDEX(tbl_Activities[Labour: Internal or External Overhead],_xlfn.ANCHORARRAY( A2)),
     _xlpm.CapitalLabour, INDEX(tbl_Activities[Capital or Labour],_xlfn.ANCHORARRAY( A2)),
IF(_xlfn.ANCHORARRAY(D2)="Out", -1, 1)*
IF(_xlpm.CapitalLabour="Capital", INDEX(tbl_Activities[Capital: Number of Units],_xlfn.ANCHORARRAY( A2))*INDEX(tbl_Activities[Capital: Unit Price],_xlfn.ANCHORARRAY( A2))
     *INDEX(tbl_CPI[Index], MATCH(PriceYear, tbl_CPI[Year], 0))/INDEX(tbl_CPI[Index], MATCH(INDEX(tbl_Activities[Capital: Price Year of Unit Price],_xlfn.ANCHORARRAY( A2)), tbl_CPI[Year], 0)),
IF(_xlpm.CapitalLabour="Labour", INDEX(tbl_Wages[Wage in price year of analysis (without overhead)], MATCH(INDEX(_xlfn.TEXTBEFORE(tbl_Activities[Labour: Staff Level (Wage Without Overhead)], " ($"),_xlfn.ANCHORARRAY( A2)), tbl_Wages[National Occupational Classification (NOC)], 0))
          *(1+IF(_xlpm.InternalExternal="Internal (25%)", 0.25, IF(_xlpm.InternalExternal="External (50%)", 0.5, 0)))
          *(INDEX(tbl_Activities[Labour: Time Spent (hours)],_xlfn.ANCHORARRAY( A2))),
""))),
"")</f>
        <v/>
      </c>
      <c r="N2" s="5" t="str" cm="1">
        <f t="array" ref="N2">_xlfn.LET(
     _xlpm.AffectedNonBusinesses, _xlfn.TAKE(_xlfn.DROP(J:J,MATCH(J$1,J:J,0)),_xlfn.XMATCH(,_xlfn.DROP(J:J,MATCH(J$1,J:J,0)))-1),
IFERROR(_xlfn.ANCHORARRAY(M2)*_xlpm.AffectedNonBusinesses, ""))</f>
        <v/>
      </c>
      <c r="O2" s="5" t="str" cm="1">
        <f t="array" ref="O2">_xlfn.LET(
     _xlpm.AffectedSmallBusinesses, _xlfn.TAKE(_xlfn.DROP(K:K,MATCH(K$1,K:K,0)),_xlfn.XMATCH(,_xlfn.DROP(K:K,MATCH(K$1,K:K,0)))-1),
IFERROR(_xlfn.ANCHORARRAY(M2)*_xlpm.AffectedSmallBusinesses, ""))</f>
        <v/>
      </c>
      <c r="P2" s="5" t="str" cm="1">
        <f t="array" ref="P2">_xlfn.LET(
     _xlpm.AffectedMedLargeBusinesses, _xlfn.TAKE(_xlfn.DROP(L:L,MATCH(L$1,L:L,0)),_xlfn.XMATCH(,_xlfn.DROP(L:L,MATCH(L$1,L:L,0)))-1),
IFERROR(_xlfn.ANCHORARRAY(M2)*_xlpm.AffectedMedLargeBusinesses, ""))</f>
        <v/>
      </c>
      <c r="Q2" s="5" cm="1">
        <f t="array" ref="Q2">IFERROR(_xlfn.ANCHORARRAY($O$2)+_xlfn.ANCHORARRAY($P$2),0)</f>
        <v>0</v>
      </c>
      <c r="R2" s="5" cm="1">
        <f t="array" ref="R2">IFERROR(_xlfn.ANCHORARRAY($Q$2)+_xlfn.ANCHORARRAY($N$2), 0)</f>
        <v>0</v>
      </c>
      <c r="S2" s="5" cm="1">
        <f t="array" ref="S2">IFERROR(_xlfn.ANCHORARRAY($N$2)/(1+Discount)^_xlfn.ANCHORARRAY($AF$2),0)</f>
        <v>0</v>
      </c>
      <c r="T2" s="5" cm="1">
        <f t="array" ref="T2">IFERROR(_xlfn.ANCHORARRAY($O$2)/(1+Discount)^_xlfn.ANCHORARRAY($AF$2),0)</f>
        <v>0</v>
      </c>
      <c r="U2" s="5" cm="1">
        <f t="array" ref="U2">IFERROR(_xlfn.ANCHORARRAY(P2)/(1+Discount)^_xlfn.ANCHORARRAY($AF$2),0)</f>
        <v>0</v>
      </c>
      <c r="V2" s="5" cm="1">
        <f t="array" ref="V2">IFERROR(_xlfn.ANCHORARRAY($T$2)+_xlfn.ANCHORARRAY($U$2), 0)</f>
        <v>0</v>
      </c>
      <c r="W2" s="5" cm="1">
        <f t="array" ref="W2">IFERROR(_xlfn.ANCHORARRAY($V$2)+_xlfn.ANCHORARRAY($S$2), 0)</f>
        <v>0</v>
      </c>
      <c r="X2" s="5" cm="1">
        <f t="array" ref="X2">IFERROR(--(_xlfn.ANCHORARRAY($C$2)="Administrative")*(_xlfn.ANCHORARRAY($O$2)+_xlfn.ANCHORARRAY($P$2))/(1.07)^_xlfn.ANCHORARRAY($AF$2), 0)</f>
        <v>0</v>
      </c>
      <c r="Y2" s="3"/>
      <c r="AA2" s="31" t="str" cm="1">
        <f t="array" ref="AA2">IFERROR(INDEX(tbl_Activities[Start Year],_xlfn.ANCHORARRAY( $A$2)), "")</f>
        <v/>
      </c>
      <c r="AB2" t="str" cm="1">
        <f t="array" ref="AB2">IFERROR(INDEX(tbl_Activities[Affected Stakeholder Type],_xlfn.ANCHORARRAY( A2)), "")</f>
        <v/>
      </c>
      <c r="AC2" t="str" cm="1">
        <f t="array" ref="AC2">IFERROR(INDEX(ActivityType,_xlfn.ANCHORARRAY( A2)), "")</f>
        <v/>
      </c>
      <c r="AD2" t="str" cm="1">
        <f t="array" ref="AD2">IFERROR(
IF(_xlfn.ANCHORARRAY(AA2)="Start of Analytical Period",_xlfn.ANCHORARRAY( F2)/_xlfn.ANCHORARRAY(G2),
IF(_xlfn.ANCHORARRAY(AA2)="End of Analytical Period",Timeperiod-1+_xlfn.ANCHORARRAY(F2)/_xlfn.ANCHORARRAY(G2),_xlfn.ANCHORARRAY(
AA2)-YearOfRegistration+_xlfn.ANCHORARRAY(F2)/_xlfn.ANCHORARRAY(G2))),
"")</f>
        <v/>
      </c>
      <c r="AE2" t="str" cm="1">
        <f t="array" ref="AE2">IFERROR(
IF(_xlfn.ANCHORARRAY(AA2)="Start of Analytical Period", 0,
IF(_xlfn.ANCHORARRAY(AA2)="End of Analytical Period", Timeperiod-1,_xlfn.ANCHORARRAY(
AA2)-YearOfRegistration)),
"")</f>
        <v/>
      </c>
      <c r="AF2" t="str" cm="1">
        <f t="array" ref="AF2">IFERROR(
IF(_xlfn.ANCHORARRAY(AA2)="Start of Analytical Period", (YearOfRegistration-PVBaseYear)+_xlfn.ANCHORARRAY($F$2)/_xlfn.ANCHORARRAY($G$2),
IF(_xlfn.ANCHORARRAY(AA2)="End of Analytical Period", (YearOfRegistration-PVBaseYear)+Timeperiod-1+_xlfn.ANCHORARRAY($F$2)/_xlfn.ANCHORARRAY($G$2),_xlfn.ANCHORARRAY(
AA2)-PVBaseYear+_xlfn.ANCHORARRAY($F$2)/_xlfn.ANCHORARRAY($G$2))),
"")</f>
        <v/>
      </c>
      <c r="AG2" t="str" cm="1">
        <f t="array" ref="AG2">IFERROR(MATCH(INDEX(tbl_Activities[Affected Stakeholder Group],_xlfn.ANCHORARRAY( 'Full Output'!$A$2)), _xlfn._xlws.FILTER(tbl_Stakeholders[Stakeholder Group], tbl_Stakeholders[Stakeholder Group]&lt;&gt;""), 0), "")</f>
        <v/>
      </c>
      <c r="AH2" t="str" cm="1">
        <f t="array" ref="AH2">IFERROR(INDEX(NonBusinessCounts,_xlfn.ANCHORARRAY( AG2)), "")</f>
        <v/>
      </c>
      <c r="AI2" t="str" cm="1">
        <f t="array" ref="AI2">IFERROR(INDEX(NonBusinessGrowthRates,_xlfn.ANCHORARRAY( AG2)), "")</f>
        <v/>
      </c>
      <c r="AJ2" t="str" cm="1">
        <f t="array" ref="AJ2">IFERROR(INDEX(SmallBusinessCounts,_xlfn.ANCHORARRAY( AG2)), "")</f>
        <v/>
      </c>
      <c r="AK2" t="str" cm="1">
        <f t="array" ref="AK2">IFERROR(INDEX(SmallBusinessGrowthRates,_xlfn.ANCHORARRAY( AG2)), "")</f>
        <v/>
      </c>
      <c r="AL2" t="str" cm="1">
        <f t="array" ref="AL2">IFERROR(INDEX(MedLargeBusinessCounts,_xlfn.ANCHORARRAY( AG2)), "")</f>
        <v/>
      </c>
      <c r="AM2" t="str" cm="1">
        <f t="array" ref="AM2">IFERROR(INDEX(MedLargeBusinessGrowthRates,_xlfn.ANCHORARRAY( AG2)), "")</f>
        <v/>
      </c>
      <c r="AP2" t="str" cm="1">
        <f t="array" ref="AP2:AQ2">IFERROR(_xlfn.LET(
_xlpm.nonbusinesscosts_undiscounted, _xlfn.MAKEARRAY(OutputRows,StakeholderCols,_xlfn.LAMBDA(_xlpm.r,_xlpm.c, _xlfn.LET(_xlpm.AllGroups, INDEX(_xlfn.ANCHORARRAY(H2), _xlpm.r)="All Groups", _xlpm.ThisGroup, IF(_xlpm.c=INDEX(_xlfn.ANCHORARRAY(AG2), _xlpm.r), INDEX(_xlfn.ANCHORARRAY(J2), _xlpm.r), 0),
IF(INDEX(_xlfn.ANCHORARRAY(AB2), _xlpm.r)="Med/Large Businesses", 0, IF(INDEX(_xlfn.ANCHORARRAY(AB2), _xlpm.r)="All Businesses", 0, IF(INDEX(_xlfn.ANCHORARRAY(AB2), _xlpm.r)=" Small Businesses", 0,
INDEX(_xlfn.ANCHORARRAY(M2), _xlpm.r)*
IF(INDEX(_xlfn.ANCHORARRAY(AC2),_xlpm.r)=1, IF(_xlpm.AllGroups, INDEX(_xlfn.ANCHORARRAY(I2), _xlpm.r)*INDEX(NonBusinessCounts,_xlpm.c)*(1+INDEX(NonBusinessGrowthRates, _xlpm.c))^INDEX(_xlfn.ANCHORARRAY(AD2), _xlpm.r), _xlpm.ThisGroup),
IF(INDEX(_xlfn.ANCHORARRAY(AC2),_xlpm.r)=2, IF(_xlpm.AllGroups, INDEX(_xlfn.ANCHORARRAY(I2), _xlpm.r)*INDEX(NonBusinessCounts, _xlpm.c)*(1+INDEX(NonBusinessGrowthRates, _xlpm.c))^IF(INDEX(NonBusinessGrowthRates, _xlpm.c)&lt;0, INDEX(_xlfn.ANCHORARRAY(AD2), _xlpm.r), INDEX(_xlfn.ANCHORARRAY(AE2), _xlpm.r)), _xlpm.ThisGroup),
IF(INDEX(_xlfn.ANCHORARRAY(AC2),_xlpm.r)=3, IF(_xlpm.AllGroups, INDEX(_xlfn.ANCHORARRAY(I2), _xlpm.r)*INDEX(NonBusinessCounts, _xlpm.c)*((1+MAX(INDEX(NonBusinessGrowthRates, _xlpm.c), 0))^INDEX(_xlfn.ANCHORARRAY(AD2), _xlpm.r)-(1+MAX(INDEX(NonBusinessGrowthRates, _xlpm.c), 0))^INDEX(_xlfn.ANCHORARRAY(AE2), _xlpm.r)), _xlpm.ThisGroup),
IF(INDEX(_xlfn.ANCHORARRAY(AC2),_xlpm.r)=4, IF(_xlpm.AllGroups, INDEX(_xlfn.ANCHORARRAY(I2), _xlpm.r)*IF(INDEX(_xlfn.ANCHORARRAY(F2),_xlpm.r)=0, INDEX(NonBusinessCounts, _xlpm.c)*(1+INDEX(NonBusinessGrowthRates, _xlpm.c))^INDEX(_xlfn.ANCHORARRAY(AD2), _xlpm.r), INDEX(NonBusinessCounts, _xlpm.c)*(((1+MAX(INDEX(NonBusinessGrowthRates, _xlpm.c), 0))^INDEX(_xlfn.ANCHORARRAY(AD2), _xlpm.r))-(1+MAX(INDEX(NonBusinessGrowthRates, _xlpm.c), 0))^INDEX(_xlfn.ANCHORARRAY(AD2), _xlpm.r-1))), _xlpm.ThisGroup),
IF(INDEX(_xlfn.ANCHORARRAY(AC2),_xlpm.r)=5, IF(_xlpm.AllGroups, INDEX(_xlfn.ANCHORARRAY(I2), _xlpm.r)*IF(INDEX(_xlfn.ANCHORARRAY(F2),_xlpm.r)=0, INDEX(NonBusinessCounts, _xlpm.c)*(1+INDEX(NonBusinessGrowthRates, _xlpm.c))^INDEX(_xlfn.ANCHORARRAY(AD2), _xlpm.r), 0), _xlpm.ThisGroup),
IF(INDEX(_xlfn.ANCHORARRAY(AC2),_xlpm.r)=6, IF(_xlpm.AllGroups, INDEX(_xlfn.ANCHORARRAY(I2), _xlpm.r)*IF(INDEX(_xlfn.ANCHORARRAY(F2), _xlpm.r)=0, 0, INDEX(NonBusinessCounts, _xlpm.c)*(((1+MAX(INDEX(NonBusinessGrowthRates, _xlpm.c), 0))^INDEX(_xlfn.ANCHORARRAY(AD2), _xlpm.r))-(1+MAX(INDEX(NonBusinessGrowthRates, _xlpm.c), 0))^INDEX(_xlfn.ANCHORARRAY(AD2), _xlpm.r-1))), AP2),
0)))))))))))),
_xlpm.smallbusinesscosts_undiscounted, _xlfn.MAKEARRAY(OutputRows,StakeholderCols,_xlfn.LAMBDA(_xlpm.r,_xlpm.c, _xlfn.LET(_xlpm.AllGroups, INDEX(_xlfn.ANCHORARRAY(H2), _xlpm.r)="All Groups", _xlpm.ThisGroup, IF(_xlpm.c=INDEX(_xlfn.ANCHORARRAY(AG2), _xlpm.r), INDEX(_xlfn.ANCHORARRAY(K2), _xlpm.r), 0),
IF(INDEX(_xlfn.ANCHORARRAY(AB2), _xlpm.r)="Med/Large Businesses", 0, IF(INDEX(_xlfn.ANCHORARRAY(AB2), _xlpm.r)="All Non-Businesses", 0,
INDEX(_xlfn.ANCHORARRAY(M2), _xlpm.r)*
IF(INDEX(_xlfn.ANCHORARRAY(AC2),_xlpm.r)=1, IF(_xlpm.AllGroups, INDEX(_xlfn.ANCHORARRAY(I2), _xlpm.r)*INDEX(SmallBusinessCounts,_xlpm.c)*(1+INDEX(SmallBusinessGrowthRates, _xlpm.c))^INDEX(_xlfn.ANCHORARRAY(AD2), _xlpm.r), _xlpm.ThisGroup),
IF(INDEX(_xlfn.ANCHORARRAY(AC2),_xlpm.r)=2, IF(_xlpm.AllGroups, INDEX(_xlfn.ANCHORARRAY(I2), _xlpm.r)*INDEX(SmallBusinessCounts, _xlpm.c)*(1+INDEX(SmallBusinessGrowthRates, _xlpm.c))^IF(INDEX(SmallBusinessGrowthRates, _xlpm.c)&lt;0, INDEX(_xlfn.ANCHORARRAY(AD2), _xlpm.r), INDEX(_xlfn.ANCHORARRAY(AE2), _xlpm.r)), _xlpm.ThisGroup),
IF(INDEX(_xlfn.ANCHORARRAY(AC2),_xlpm.r)=3, IF(_xlpm.AllGroups, INDEX(_xlfn.ANCHORARRAY(I2), _xlpm.r)*INDEX(SmallBusinessCounts, _xlpm.c)*((1+MAX(INDEX(SmallBusinessGrowthRates, _xlpm.c), 0))^INDEX(_xlfn.ANCHORARRAY(AD2), _xlpm.r)-(1+MAX(INDEX(SmallBusinessGrowthRates, _xlpm.c), 0))^INDEX(_xlfn.ANCHORARRAY(AE2), _xlpm.r)), _xlpm.ThisGroup),
IF(INDEX(_xlfn.ANCHORARRAY(AC2),_xlpm.r)=4, IF(_xlpm.AllGroups, INDEX(_xlfn.ANCHORARRAY(I2), _xlpm.r)*IF(INDEX(_xlfn.ANCHORARRAY(F2),_xlpm.r)=0, INDEX(SmallBusinessCounts, _xlpm.c)*(1+INDEX(SmallBusinessGrowthRates, _xlpm.c))^INDEX(_xlfn.ANCHORARRAY(AD2), _xlpm.r), INDEX(SmallBusinessCounts, _xlpm.c)*(((1+MAX(INDEX(SmallBusinessGrowthRates, _xlpm.c), 0))^INDEX(_xlfn.ANCHORARRAY(AD2), _xlpm.r))-(1+MAX(INDEX(SmallBusinessGrowthRates, _xlpm.c), 0))^INDEX(_xlfn.ANCHORARRAY(AD2), _xlpm.r-1))), _xlpm.ThisGroup),
IF(INDEX(_xlfn.ANCHORARRAY(AC2),_xlpm.r)=5, IF(_xlpm.AllGroups, INDEX(_xlfn.ANCHORARRAY(I2), _xlpm.r)*IF(INDEX(_xlfn.ANCHORARRAY(F2),_xlpm.r)=0, INDEX(SmallBusinessCounts, _xlpm.c)*(1+INDEX(SmallBusinessGrowthRates, _xlpm.c))^INDEX(_xlfn.ANCHORARRAY(AD2), _xlpm.r), 0), _xlpm.ThisGroup),
IF(INDEX(_xlfn.ANCHORARRAY(AC2),_xlpm.r)=6, IF(_xlpm.AllGroups, INDEX(_xlfn.ANCHORARRAY(I2), _xlpm.r)*IF(INDEX(_xlfn.ANCHORARRAY(F2), _xlpm.r)=0, 0, INDEX(SmallBusinessCounts, _xlpm.c)*(((1+MAX(INDEX(SmallBusinessGrowthRates, _xlpm.c), 0))^INDEX(_xlfn.ANCHORARRAY(AD2), _xlpm.r))-(1+MAX(INDEX(SmallBusinessGrowthRates, _xlpm.c), 0))^INDEX(_xlfn.ANCHORARRAY(AD2), _xlpm.r-1))), _xlpm.ThisGroup),
0))))))))))),
_xlpm.medlargebusinesscosts_undiscounted, _xlfn.MAKEARRAY(OutputRows,StakeholderCols,_xlfn.LAMBDA(_xlpm.r,_xlpm.c, _xlfn.LET(_xlpm.AllGroups, INDEX(_xlfn.ANCHORARRAY(H2), _xlpm.r)="All Groups", _xlpm.ThisGroup, IF(_xlpm.c=INDEX(_xlfn.ANCHORARRAY(AG2), _xlpm.r), INDEX(_xlfn.ANCHORARRAY(L2), _xlpm.r), 0),
IF(INDEX(_xlfn.ANCHORARRAY(AB2), _xlpm.r)="Small Businesses", 0, IF(INDEX(_xlfn.ANCHORARRAY(AB2), _xlpm.r)="All Non-Businesses", 0,
INDEX(_xlfn.ANCHORARRAY(M2), _xlpm.r)*
IF(INDEX(_xlfn.ANCHORARRAY(AC2),_xlpm.r)=1, IF(_xlpm.AllGroups, INDEX(_xlfn.ANCHORARRAY(I2), _xlpm.r)*INDEX(MedLargeBusinessCounts,_xlpm.c)*(1+INDEX(MedLargeBusinessGrowthRates, _xlpm.c))^INDEX(_xlfn.ANCHORARRAY(AD2), _xlpm.r), _xlpm.ThisGroup),
IF(INDEX(_xlfn.ANCHORARRAY(AC2),_xlpm.r)=2, IF(_xlpm.AllGroups, INDEX(_xlfn.ANCHORARRAY(I2), _xlpm.r)*INDEX(MedLargeBusinessCounts, _xlpm.c)*(1+INDEX(MedLargeBusinessGrowthRates, _xlpm.c))^IF(INDEX(MedLargeBusinessGrowthRates, _xlpm.c)&lt;0, INDEX(_xlfn.ANCHORARRAY(AD2), _xlpm.r), INDEX(_xlfn.ANCHORARRAY(AE2), _xlpm.r)), _xlpm.ThisGroup),
IF(INDEX(_xlfn.ANCHORARRAY(AC2),_xlpm.r)=3, IF(_xlpm.AllGroups, INDEX(_xlfn.ANCHORARRAY(I2), _xlpm.r)*INDEX(MedLargeBusinessCounts, _xlpm.c)*((1+MAX(INDEX(MedLargeBusinessGrowthRates, _xlpm.c), 0))^INDEX(_xlfn.ANCHORARRAY(AD2), _xlpm.r)-(1+MAX(INDEX(MedLargeBusinessGrowthRates, _xlpm.c), 0))^INDEX(_xlfn.ANCHORARRAY(AE2), _xlpm.r)), _xlpm.ThisGroup),
IF(INDEX(_xlfn.ANCHORARRAY(AC2),_xlpm.r)=4, IF(_xlpm.AllGroups, INDEX(_xlfn.ANCHORARRAY(I2), _xlpm.r)*IF(INDEX(_xlfn.ANCHORARRAY(F2),_xlpm.r)=0, INDEX(MedLargeBusinessCounts, _xlpm.c)*(1+INDEX(MedLargeBusinessGrowthRates, _xlpm.c))^INDEX(_xlfn.ANCHORARRAY(AD2), _xlpm.r), INDEX(MedLargeBusinessCounts, _xlpm.c)*(((1+MAX(INDEX(MedLargeBusinessGrowthRates, _xlpm.c), 0))^INDEX(_xlfn.ANCHORARRAY(AD2), _xlpm.r))-(1+MAX(INDEX(MedLargeBusinessGrowthRates, _xlpm.c), 0))^INDEX(_xlfn.ANCHORARRAY(AD2), _xlpm.r-1))), _xlpm.ThisGroup),
IF(INDEX(_xlfn.ANCHORARRAY(AC2),_xlpm.r)=5, IF(_xlpm.AllGroups, INDEX(_xlfn.ANCHORARRAY(I2), _xlpm.r)*IF(INDEX(_xlfn.ANCHORARRAY(F2),_xlpm.r)=0, INDEX(MedLargeBusinessCounts, _xlpm.c)*(1+INDEX(MedLargeBusinessGrowthRates, _xlpm.c))^INDEX(_xlfn.ANCHORARRAY(AD2), _xlpm.r), 0), _xlpm.ThisGroup),
IF(INDEX(_xlfn.ANCHORARRAY(AC2),_xlpm.r)=6, IF(_xlpm.AllGroups, INDEX(_xlfn.ANCHORARRAY(I2), _xlpm.r)*IF(INDEX(_xlfn.ANCHORARRAY(F2), _xlpm.r)=0, 0, INDEX(MedLargeBusinessCounts, _xlpm.c)*(((1+MAX(INDEX(MedLargeBusinessGrowthRates, _xlpm.c), 0))^INDEX(_xlfn.ANCHORARRAY(AD2), _xlpm.r))-(1+MAX(INDEX(MedLargeBusinessGrowthRates, _xlpm.c), 0))^INDEX(_xlfn.ANCHORARRAY(AD2), _xlpm.r-1))), _xlpm.ThisGroup),
0))))))))))),
_xlpm.x, _xlpm.nonbusinesscosts_undiscounted+_xlpm.smallbusinesscosts_undiscounted+_xlpm.medlargebusinesscosts_undiscounted,
_xlfn.HSTACK(_xlpm.x, _xlpm.x/(1+Discount)^_xlfn.ANCHORARRAY(AF2))), "")</f>
        <v/>
      </c>
      <c r="AQ2" t="str">
        <v/>
      </c>
    </row>
  </sheetData>
  <conditionalFormatting sqref="I2:I20000">
    <cfRule type="notContainsBlanks" dxfId="2" priority="1">
      <formula>LEN(TRIM(I2))&gt;0</formula>
    </cfRule>
  </conditionalFormatting>
  <conditionalFormatting sqref="J2:L20000 G2:G20000">
    <cfRule type="notContainsBlanks" dxfId="1" priority="4">
      <formula>LEN(TRIM(G2))&gt;0</formula>
    </cfRule>
  </conditionalFormatting>
  <conditionalFormatting sqref="M2:X20000">
    <cfRule type="notContainsBlanks" dxfId="0" priority="2">
      <formula>LEN(TRIM(M2))&gt;0</formula>
    </cfRule>
  </conditionalFormatting>
  <pageMargins left="0.7" right="0.7" top="0.75" bottom="0.75" header="0.3" footer="0.3"/>
  <pageSetup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B1:DL92"/>
  <sheetViews>
    <sheetView zoomScale="60" zoomScaleNormal="60" zoomScaleSheetLayoutView="86" workbookViewId="0"/>
  </sheetViews>
  <sheetFormatPr defaultRowHeight="15" x14ac:dyDescent="0.25"/>
  <cols>
    <col min="2" max="2" width="21.85546875" customWidth="1"/>
    <col min="3" max="3" width="22.85546875" customWidth="1"/>
    <col min="4" max="4" width="26.140625" customWidth="1"/>
    <col min="5" max="5" width="26.5703125" customWidth="1"/>
    <col min="6" max="6" width="18.7109375" customWidth="1"/>
    <col min="7" max="7" width="25.7109375" bestFit="1" customWidth="1"/>
    <col min="8" max="8" width="27.5703125" customWidth="1"/>
    <col min="9" max="9" width="88.7109375" bestFit="1" customWidth="1"/>
    <col min="12" max="12" width="13.5703125" customWidth="1"/>
    <col min="13" max="13" width="8.7109375" customWidth="1"/>
    <col min="14" max="14" width="18.7109375" customWidth="1"/>
    <col min="15" max="15" width="17.28515625" customWidth="1"/>
    <col min="16" max="16" width="78" customWidth="1"/>
    <col min="17" max="17" width="14.28515625" customWidth="1"/>
    <col min="18" max="18" width="121.28515625" customWidth="1"/>
    <col min="19" max="19" width="25.5703125" customWidth="1"/>
    <col min="20" max="20" width="68.42578125" customWidth="1"/>
    <col min="21" max="21" width="23" customWidth="1"/>
    <col min="23" max="23" width="34" customWidth="1"/>
    <col min="25" max="25" width="15" customWidth="1"/>
    <col min="26" max="26" width="9.28515625" customWidth="1"/>
    <col min="27" max="27" width="15.5703125" customWidth="1"/>
    <col min="28" max="28" width="18.7109375" customWidth="1"/>
    <col min="29" max="29" width="14.85546875" customWidth="1"/>
    <col min="30" max="34" width="14.5703125" customWidth="1"/>
    <col min="35" max="35" width="36.28515625" customWidth="1"/>
    <col min="39" max="39" width="16.42578125" customWidth="1"/>
    <col min="40" max="40" width="16.85546875" customWidth="1"/>
    <col min="41" max="41" width="17" customWidth="1"/>
    <col min="44" max="44" width="35.85546875" customWidth="1"/>
    <col min="45" max="45" width="25.42578125" customWidth="1"/>
    <col min="46" max="46" width="19.85546875" customWidth="1"/>
    <col min="47" max="47" width="40" customWidth="1"/>
    <col min="48" max="48" width="17" customWidth="1"/>
    <col min="49" max="49" width="31.7109375" customWidth="1"/>
    <col min="50" max="50" width="26.85546875" customWidth="1"/>
    <col min="53" max="53" width="30.7109375" customWidth="1"/>
    <col min="54" max="54" width="11.85546875" customWidth="1"/>
    <col min="55" max="55" width="33.7109375" customWidth="1"/>
    <col min="56" max="56" width="19.85546875" customWidth="1"/>
    <col min="57" max="57" width="37.5703125" customWidth="1"/>
    <col min="58" max="58" width="32.28515625" customWidth="1"/>
    <col min="59" max="59" width="30.140625" customWidth="1"/>
    <col min="60" max="60" width="50.28515625" customWidth="1"/>
    <col min="61" max="61" width="81.42578125" customWidth="1"/>
    <col min="63" max="63" width="9.85546875" bestFit="1" customWidth="1"/>
    <col min="66" max="66" width="64.5703125" customWidth="1"/>
    <col min="74" max="74" width="14.7109375" customWidth="1"/>
    <col min="75" max="75" width="16.140625" customWidth="1"/>
    <col min="76" max="76" width="20.140625" customWidth="1"/>
    <col min="77" max="77" width="8" customWidth="1"/>
    <col min="78" max="78" width="16.28515625" customWidth="1"/>
    <col min="79" max="79" width="20.7109375" customWidth="1"/>
    <col min="80" max="80" width="10.28515625" bestFit="1" customWidth="1"/>
    <col min="81" max="82" width="9.28515625" bestFit="1" customWidth="1"/>
    <col min="83" max="83" width="10.42578125" customWidth="1"/>
    <col min="84" max="84" width="10.85546875" customWidth="1"/>
    <col min="85" max="85" width="12.42578125" customWidth="1"/>
    <col min="86" max="86" width="11.28515625" customWidth="1"/>
    <col min="87" max="87" width="15.7109375" customWidth="1"/>
    <col min="88" max="88" width="13.42578125" customWidth="1"/>
    <col min="89" max="89" width="13" customWidth="1"/>
    <col min="90" max="90" width="13.42578125" customWidth="1"/>
    <col min="91" max="91" width="13" customWidth="1"/>
    <col min="92" max="92" width="12" customWidth="1"/>
    <col min="93" max="93" width="12.5703125" customWidth="1"/>
    <col min="94" max="94" width="11.28515625" customWidth="1"/>
    <col min="95" max="96" width="13.28515625" customWidth="1"/>
    <col min="97" max="97" width="15.42578125" customWidth="1"/>
    <col min="100" max="100" width="9" bestFit="1" customWidth="1"/>
    <col min="101" max="101" width="9.28515625" bestFit="1" customWidth="1"/>
    <col min="102" max="102" width="9" bestFit="1" customWidth="1"/>
    <col min="103" max="103" width="14.28515625" customWidth="1"/>
    <col min="104" max="104" width="10.42578125" customWidth="1"/>
    <col min="105" max="105" width="10.85546875" customWidth="1"/>
    <col min="106" max="107" width="13.5703125" customWidth="1"/>
    <col min="108" max="108" width="12.5703125" customWidth="1"/>
    <col min="109" max="110" width="13.85546875" customWidth="1"/>
    <col min="111" max="111" width="11.85546875" customWidth="1"/>
    <col min="112" max="112" width="11.5703125" customWidth="1"/>
    <col min="114" max="114" width="28.140625" bestFit="1" customWidth="1"/>
    <col min="115" max="115" width="27.28515625" customWidth="1"/>
    <col min="116" max="116" width="16.7109375" customWidth="1"/>
  </cols>
  <sheetData>
    <row r="1" spans="2:116" ht="90" x14ac:dyDescent="0.25">
      <c r="B1" s="176" t="s">
        <v>296</v>
      </c>
      <c r="C1" s="176" t="s">
        <v>297</v>
      </c>
      <c r="D1" s="176" t="s">
        <v>298</v>
      </c>
      <c r="E1" s="176" t="s">
        <v>299</v>
      </c>
      <c r="F1" s="176" t="s">
        <v>300</v>
      </c>
      <c r="G1" s="176" t="s">
        <v>301</v>
      </c>
      <c r="H1" s="178" t="s">
        <v>295</v>
      </c>
      <c r="I1" s="177" t="s">
        <v>294</v>
      </c>
      <c r="R1" t="s">
        <v>44</v>
      </c>
      <c r="BV1" s="4" t="s">
        <v>141</v>
      </c>
      <c r="BW1" s="6" t="s">
        <v>142</v>
      </c>
      <c r="BX1" s="6" t="s">
        <v>143</v>
      </c>
      <c r="BY1" s="6" t="s">
        <v>144</v>
      </c>
      <c r="BZ1" s="6" t="s">
        <v>139</v>
      </c>
      <c r="CA1" s="6" t="s">
        <v>145</v>
      </c>
      <c r="CB1" s="173" t="s">
        <v>146</v>
      </c>
      <c r="CC1" s="6" t="s">
        <v>147</v>
      </c>
      <c r="CD1" s="6" t="s">
        <v>33</v>
      </c>
      <c r="CE1" s="6" t="s">
        <v>148</v>
      </c>
      <c r="CF1" s="6" t="s">
        <v>149</v>
      </c>
      <c r="CG1" s="6" t="s">
        <v>150</v>
      </c>
      <c r="CH1" s="6" t="str">
        <f>"Cost Per Event ("&amp;PriceYear&amp;" CAD)"</f>
        <v>Cost Per Event (2023 CAD)</v>
      </c>
      <c r="CI1" s="4" t="s">
        <v>151</v>
      </c>
      <c r="CJ1" s="4" t="s">
        <v>152</v>
      </c>
      <c r="CK1" s="4" t="s">
        <v>153</v>
      </c>
      <c r="CL1" s="6" t="s">
        <v>154</v>
      </c>
      <c r="CM1" s="6" t="s">
        <v>155</v>
      </c>
      <c r="CN1" s="6" t="s">
        <v>156</v>
      </c>
      <c r="CO1" s="6" t="s">
        <v>157</v>
      </c>
      <c r="CP1" s="6" t="s">
        <v>158</v>
      </c>
      <c r="CQ1" s="6" t="s">
        <v>159</v>
      </c>
      <c r="CR1" s="6" t="s">
        <v>160</v>
      </c>
      <c r="CS1" s="6" t="s">
        <v>161</v>
      </c>
      <c r="CV1" s="6" t="s">
        <v>162</v>
      </c>
      <c r="CW1" s="4" t="s">
        <v>163</v>
      </c>
      <c r="CX1" s="4" t="s">
        <v>164</v>
      </c>
      <c r="CY1" s="4" t="s">
        <v>165</v>
      </c>
      <c r="CZ1" s="4" t="s">
        <v>166</v>
      </c>
      <c r="DA1" s="4" t="s">
        <v>167</v>
      </c>
      <c r="DB1" s="4" t="s">
        <v>168</v>
      </c>
      <c r="DC1" s="4" t="s">
        <v>169</v>
      </c>
      <c r="DD1" s="4" t="s">
        <v>170</v>
      </c>
      <c r="DE1" s="4" t="s">
        <v>171</v>
      </c>
      <c r="DF1" s="4" t="s">
        <v>172</v>
      </c>
      <c r="DG1" s="4" t="s">
        <v>173</v>
      </c>
      <c r="DH1" s="4" t="s">
        <v>174</v>
      </c>
      <c r="DI1" s="140"/>
      <c r="DJ1" s="174" t="str">
        <f>"{undiscounted, discounted}:"</f>
        <v>{undiscounted, discounted}:</v>
      </c>
      <c r="DK1" s="8" t="s">
        <v>274</v>
      </c>
      <c r="DL1" s="8" t="s">
        <v>275</v>
      </c>
    </row>
    <row r="2" spans="2:116" ht="16.5" customHeight="1" x14ac:dyDescent="0.25">
      <c r="B2" t="str" cm="1">
        <f t="array" ref="B2">IFERROR(_xlfn.VSTACK(_xlfn.UNIQUE(_xlfn._xlws.FILTER(tbl_Stakeholders[Stakeholder Group], tbl_Stakeholders[Stakeholder Group]&lt;&gt;"")), "All Groups"), "")</f>
        <v/>
      </c>
      <c r="C2" s="88" cm="1">
        <f t="array" ref="C2:C12">_xlfn.SEQUENCE(11, , 0, 1%)</f>
        <v>0</v>
      </c>
      <c r="D2" cm="1">
        <f t="array" ref="D2:D92">_xlfn.SEQUENCE(91, , 10, 1)</f>
        <v>10</v>
      </c>
      <c r="E2" cm="1">
        <f t="array" ref="E2:E40">_xlfn.SEQUENCE(2050-2012+1, , 2012)</f>
        <v>2012</v>
      </c>
      <c r="F2" cm="1">
        <f t="array" ref="F2:F23">_xlfn._xlws.SORT(tbl_CPI[Year], , -1)</f>
        <v>2023</v>
      </c>
      <c r="G2" t="str" cm="1">
        <f t="array" ref="G2:G13">_xlfn.VSTACK("Start of Analytical Period", "End of Analytical Period", _xlfn.SEQUENCE(Timeperiod, , YearOfRegistration))</f>
        <v>Start of Analytical Period</v>
      </c>
      <c r="H2" s="182">
        <v>2</v>
      </c>
      <c r="I2" t="str" cm="1">
        <f t="array" ref="I2:I53">tbl_Wages[National Occupational Classification (NOC)]&amp; IFERROR(" ("&amp;DOLLAR(tbl_Wages[Wage in price year of analysis (without overhead)], H2)&amp;")", " (custom wage not added yet)")</f>
        <v>01 Canada average ($33.32)</v>
      </c>
      <c r="N2" s="15" t="s">
        <v>195</v>
      </c>
      <c r="O2" s="15" t="s">
        <v>196</v>
      </c>
      <c r="P2" s="15" t="s">
        <v>197</v>
      </c>
      <c r="R2" s="50" t="str">
        <f>IF(OneForOneLanding=0,R5,R4)</f>
        <v>The one-for-one rule does not apply as there is no impact on business.</v>
      </c>
      <c r="S2" s="50"/>
      <c r="T2" s="50"/>
      <c r="U2" s="145"/>
      <c r="BV2" s="19" t="s">
        <v>175</v>
      </c>
      <c r="BW2" s="19" t="s">
        <v>176</v>
      </c>
      <c r="BX2" s="19" t="s">
        <v>177</v>
      </c>
      <c r="BY2" s="19" t="s">
        <v>178</v>
      </c>
      <c r="BZ2" s="19" t="s">
        <v>276</v>
      </c>
      <c r="CA2" s="8" t="s">
        <v>179</v>
      </c>
      <c r="CB2" s="19" t="s">
        <v>277</v>
      </c>
      <c r="CC2" s="19" t="s">
        <v>180</v>
      </c>
      <c r="CD2" s="19" t="s">
        <v>181</v>
      </c>
      <c r="CE2" s="8" t="s">
        <v>182</v>
      </c>
      <c r="CF2" s="8" t="s">
        <v>183</v>
      </c>
      <c r="CG2" s="8" t="s">
        <v>184</v>
      </c>
      <c r="CH2" s="8" t="s">
        <v>278</v>
      </c>
      <c r="CI2" s="19" t="s">
        <v>185</v>
      </c>
      <c r="CJ2" s="19" t="s">
        <v>186</v>
      </c>
      <c r="CK2" s="19" t="s">
        <v>187</v>
      </c>
      <c r="CL2" s="19" t="s">
        <v>188</v>
      </c>
      <c r="CM2" s="19" t="s">
        <v>189</v>
      </c>
      <c r="CN2" s="19" t="s">
        <v>190</v>
      </c>
      <c r="CO2" s="19" t="s">
        <v>191</v>
      </c>
      <c r="CP2" s="19" t="s">
        <v>279</v>
      </c>
      <c r="CQ2" s="19" t="s">
        <v>192</v>
      </c>
      <c r="CR2" s="19" t="s">
        <v>193</v>
      </c>
      <c r="CS2" s="19" t="s">
        <v>194</v>
      </c>
      <c r="CV2" s="19" t="s">
        <v>280</v>
      </c>
      <c r="CW2" s="19" t="s">
        <v>281</v>
      </c>
      <c r="CX2" s="19" t="s">
        <v>282</v>
      </c>
      <c r="CY2" s="19" t="s">
        <v>283</v>
      </c>
      <c r="CZ2" s="19" t="s">
        <v>284</v>
      </c>
      <c r="DA2" s="19" t="s">
        <v>285</v>
      </c>
      <c r="DB2" s="19" t="s">
        <v>286</v>
      </c>
      <c r="DC2" s="19" t="s">
        <v>287</v>
      </c>
      <c r="DD2" s="19" t="s">
        <v>288</v>
      </c>
      <c r="DE2" s="19" t="s">
        <v>289</v>
      </c>
      <c r="DF2" s="19" t="s">
        <v>290</v>
      </c>
      <c r="DG2" s="19" t="s">
        <v>291</v>
      </c>
      <c r="DH2" s="19" t="s">
        <v>292</v>
      </c>
      <c r="DK2" s="8" t="s">
        <v>293</v>
      </c>
    </row>
    <row r="3" spans="2:116" ht="15.75" thickBot="1" x14ac:dyDescent="0.3">
      <c r="C3" s="88">
        <v>0.01</v>
      </c>
      <c r="D3">
        <v>11</v>
      </c>
      <c r="E3">
        <v>2013</v>
      </c>
      <c r="F3">
        <v>2022</v>
      </c>
      <c r="G3" t="str">
        <v>End of Analytical Period</v>
      </c>
      <c r="I3" t="str">
        <v>02 Management occupations ($54.36)</v>
      </c>
      <c r="N3" s="2" t="s">
        <v>198</v>
      </c>
      <c r="O3" s="2">
        <f>0.07/(1-(1.07)^(-10))</f>
        <v>0.14237750272736471</v>
      </c>
      <c r="P3" s="2" t="s">
        <v>199</v>
      </c>
      <c r="V3" s="152" t="s">
        <v>200</v>
      </c>
      <c r="AS3" s="8"/>
      <c r="AT3" s="8"/>
      <c r="AU3" s="8"/>
      <c r="AV3" s="8"/>
      <c r="AW3" s="8"/>
      <c r="AX3" s="8"/>
    </row>
    <row r="4" spans="2:116" ht="15" customHeight="1" thickBot="1" x14ac:dyDescent="0.3">
      <c r="C4" s="88">
        <v>0.02</v>
      </c>
      <c r="D4">
        <v>12</v>
      </c>
      <c r="E4">
        <v>2014</v>
      </c>
      <c r="F4">
        <v>2021</v>
      </c>
      <c r="G4">
        <v>2024</v>
      </c>
      <c r="I4" t="str">
        <v>03 Senior management occupations ($63.82)</v>
      </c>
      <c r="N4" s="2" t="s">
        <v>201</v>
      </c>
      <c r="O4" s="2">
        <f>Discount/(1-(1+Discount)^(-Timeperiod))</f>
        <v>0.14237750272736471</v>
      </c>
      <c r="P4" s="2" t="s">
        <v>202</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Enteredrepresent an annualized total  of $0. 
</v>
      </c>
      <c r="V4" s="156" t="s">
        <v>141</v>
      </c>
      <c r="W4" s="157" t="s">
        <v>203</v>
      </c>
      <c r="X4" s="157" t="s">
        <v>204</v>
      </c>
      <c r="Y4" s="157" t="s">
        <v>205</v>
      </c>
      <c r="Z4" s="157" t="s">
        <v>146</v>
      </c>
      <c r="AA4" s="157" t="s">
        <v>206</v>
      </c>
      <c r="AB4" s="157" t="s">
        <v>207</v>
      </c>
      <c r="AC4" s="157" t="s">
        <v>208</v>
      </c>
      <c r="AD4" s="153" t="s">
        <v>209</v>
      </c>
      <c r="AE4" s="153" t="s">
        <v>210</v>
      </c>
      <c r="AF4" s="153" t="s">
        <v>211</v>
      </c>
      <c r="AG4" s="153" t="s">
        <v>212</v>
      </c>
      <c r="AH4" s="153" t="s">
        <v>213</v>
      </c>
      <c r="AI4" s="153" t="s">
        <v>214</v>
      </c>
      <c r="AJ4" s="154" t="s">
        <v>215</v>
      </c>
      <c r="AM4" s="155" t="s">
        <v>216</v>
      </c>
      <c r="AN4" s="153" t="s">
        <v>217</v>
      </c>
      <c r="AO4" s="153" t="s">
        <v>218</v>
      </c>
      <c r="AP4" s="153" t="s">
        <v>219</v>
      </c>
      <c r="AQ4" s="153" t="s">
        <v>220</v>
      </c>
      <c r="AR4" s="153" t="s">
        <v>221</v>
      </c>
      <c r="AS4" s="153" t="s">
        <v>222</v>
      </c>
      <c r="AT4" s="153" t="s">
        <v>223</v>
      </c>
      <c r="AU4" s="153" t="s">
        <v>224</v>
      </c>
      <c r="AV4" s="153" t="s">
        <v>225</v>
      </c>
      <c r="AW4" s="153" t="s">
        <v>226</v>
      </c>
      <c r="AX4" s="153" t="s">
        <v>227</v>
      </c>
      <c r="AY4" s="153" t="s">
        <v>228</v>
      </c>
      <c r="AZ4" s="153" t="s">
        <v>229</v>
      </c>
      <c r="BA4" s="153" t="s">
        <v>230</v>
      </c>
      <c r="BB4" s="153" t="s">
        <v>231</v>
      </c>
      <c r="BC4" s="153" t="s">
        <v>232</v>
      </c>
      <c r="BD4" s="153" t="s">
        <v>233</v>
      </c>
      <c r="BE4" s="153" t="s">
        <v>234</v>
      </c>
      <c r="BF4" s="153" t="s">
        <v>235</v>
      </c>
      <c r="BG4" s="153" t="s">
        <v>236</v>
      </c>
      <c r="BH4" s="153" t="s">
        <v>237</v>
      </c>
      <c r="BI4" s="153" t="s">
        <v>238</v>
      </c>
      <c r="BN4" s="49" t="str">
        <f>_xlfn.CONCAT(BN5:BN88)</f>
        <v xml:space="preserve">The amendments related to Activity Name Not Enteredrepresent an annualized total  of $0. 
</v>
      </c>
    </row>
    <row r="5" spans="2:116" ht="15.75" customHeight="1" x14ac:dyDescent="0.25">
      <c r="C5" s="88">
        <v>0.03</v>
      </c>
      <c r="D5">
        <v>13</v>
      </c>
      <c r="E5">
        <v>2015</v>
      </c>
      <c r="F5">
        <v>2020</v>
      </c>
      <c r="G5">
        <v>2025</v>
      </c>
      <c r="I5" t="str">
        <v>04 Specialized middle management occupations ($58.78)</v>
      </c>
      <c r="R5" t="str">
        <f>IF(SUM(tbl_Stakeholders[Small Business Count])+SUM(tbl_Stakeholders[Med/Large Business Count])=0,Controls!R7,IF(AND(Controls!S36=0,'Initiative Details'!D9=0,'Initiative Details'!D10=0),Controls!R8,IF(AND(Controls!S36=0,'Initiative Details'!D9='Initiative Details'!D10),Controls!R9,R10)))</f>
        <v>The one-for-one rule does not apply as there is no impact on business.</v>
      </c>
      <c r="V5" s="14" t="str" cm="1">
        <f t="array" ref="V5">IFERROR(_xlfn._xlws.FILTER(ActivityNumber,tbl_Activities[Administrative or Compliance]="Administrative"),"")</f>
        <v/>
      </c>
      <c r="W5" t="str" cm="1">
        <f t="array" ref="W5">_xlfn.XLOOKUP(_xlfn.ANCHORARRAY($V5),ActivityNumber,tbl_Activities[Activity],"Activity Name Not Entered",0,1)</f>
        <v>Activity Name Not Entered</v>
      </c>
      <c r="X5" cm="1">
        <f t="array" ref="X5">_xlfn.XLOOKUP(_xlfn.ANCHORARRAY($V5),ActivityNumber,tbl_Activities[In or Out],0,1)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(25%)",1.25,1.5)) *
_xlfn.LET(_xlpm.WageClass,_xlfn.XLOOKUP(_xlfn.ANCHORARRAY($V5),ActivityNumber,tbl_Activities[Labour: Staff Level (Wage Without Overhead)],0,1),_xlfn.XLOOKUP(_xlpm.WageClass,tbl_Wages[National Occupational Classification (NOC)],tbl_Wages[Wage in price year of analysis (without overhead)],"No",-1,1))*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(((SUMIFS(_xlfn.ANCHORARRAY('Full Output'!$X2),_xlfn.ANCHORARRAY('Full Output'!$A2),_xlfn.ANCHORARRAY($V5),_xlfn.ANCHORARRAY('Full Output'!$E2),"&lt;"&amp;YearOfRegistration+"10")*OneforOne_CPI_Conversion)*1.07^-Years_since_2012)*0.07)/(1-(1+'One-for-one'!$C$9)^-10)</f>
        <v>0</v>
      </c>
      <c r="AJ5" s="149" cm="1">
        <f t="array" ref="AJ5">_xlfn.MAXIFS(_xlfn.ANCHORARRAY('Full Output'!$K2),_xlfn.ANCHORARRAY('Full Output'!$A2),_xlfn.ANCHORARRAY($V5))+_xlfn.MAXIFS(_xlfn.ANCHORARRAY('Full Output'!$L2),_xlfn.ANCHORARRAY('Full Output'!$A2),_xlfn.ANCHORARRAY($V5))</f>
        <v>0</v>
      </c>
      <c r="AM5" s="8" t="str" cm="1">
        <f t="array" ref="AM5">_xlfn.UNIQUE(_xlfn.ANCHORARRAY(W5))</f>
        <v>Activity Name Not Entered</v>
      </c>
      <c r="AN5" s="147" cm="1">
        <f t="array" ref="AN5">SUMIFS(_xlfn.ANCHORARRAY($AI5),_xlfn.ANCHORARRAY($W5),_xlfn.ANCHORARRAY($AM5),_xlfn.ANCHORARRAY($Y5),"Labour",_xlfn.ANCHORARRAY($X5),"In")</f>
        <v>0</v>
      </c>
      <c r="AO5" s="147" cm="1">
        <f t="array" ref="AO5">SUMIFS(_xlfn.ANCHORARRAY($AI5),_xlfn.ANCHORARRAY($W5),_xlfn.ANCHORARRAY($AM5),_xlfn.ANCHORARRAY($Y5),"Labour",_xlfn.ANCHORARRAY($X5),"Out")</f>
        <v>0</v>
      </c>
      <c r="AP5" s="147" cm="1">
        <f t="array" ref="AP5">SUMIFS(_xlfn.ANCHORARRAY($AI5),_xlfn.ANCHORARRAY($W5),_xlfn.ANCHORARRAY($AM5),_xlfn.ANCHORARRAY($Y5),"Capital",_xlfn.ANCHORARRAY($X5),"In")</f>
        <v>0</v>
      </c>
      <c r="AQ5" s="147" cm="1">
        <f t="array" ref="AQ5">SUMIFS(_xlfn.ANCHORARRAY($AI5),_xlfn.ANCHORARRAY($W5),_xlfn.ANCHORARRAY($AM5),_xlfn.ANCHORARRAY($Y5),"Capital",_xlfn.ANCHORARRAY($X5),"Out")</f>
        <v>0</v>
      </c>
      <c r="AR5" s="164" t="str" cm="1">
        <f t="array" ref="AR5">$U$21&amp;_xlfn.ANCHORARRAY(AM5)&amp;"represent "&amp;IF(--(_xlfn.ANCHORARRAY(AN5)+_xlfn.ANCHORARRAY(AP5)=0)+--(_xlfn.ANCHORARRAY(AO5)+_xlfn.ANCHORARRAY(AQ5)=0)&gt;0,"an annualized total ","an annualized net ")&amp;IF((_xlfn.ANCHORARRAY(AN5)+_xlfn.ANCHORARRAY(AO5)+_xlfn.ANCHORARRAY(AP5)+_xlfn.ANCHORARRAY(AQ5))&gt;0,"cost",IF((_xlfn.ANCHORARRAY(AN5)+_xlfn.ANCHORARRAY(AO5)+_xlfn.ANCHORARRAY(AP5)+_xlfn.ANCHORARRAY(AQ5))&lt;0,"cost savings",""))
&amp;" of "&amp;DOLLAR(ABS(_xlfn.ANCHORARRAY($AN5)+_xlfn.ANCHORARRAY(AO5)+_xlfn.ANCHORARRAY(AP5)+_xlfn.ANCHORARRAY(AQ5)),0)&amp;". "</f>
        <v xml:space="preserve">The amendments related to Activity Name Not Enteredrepresent an annualized total  of $0. </v>
      </c>
      <c r="AS5" t="str" cm="1">
        <f t="array" ref="AS5">_xlfn.LET(_xlpm.BizCount, _xlfn.MAXIFS(_xlfn.ANCHORARRAY($AJ5),_xlfn.ANCHORARRAY($W5),_xlfn.ANCHORARRAY($AM5),_xlfn.ANCHORARRAY($X5),"In",_xlfn.ANCHORARRAY($Y5),"Labour",_xlfn.ANCHORARRAY(AJ5),"&gt;0"),IF(_xlpm.BizCount=1,"One Business would spend ",IF(_xlpm.BizCount=0,"", IF(_xlpm.BizCount&lt;10, "Up to " &amp;INDEX(tbl_NumberWord[],_xlpm.BizCount,2)  &amp; " businesses would spend ", "Up to " &amp; ROUND(_xlpm.BizCount,0) &amp; " businesses would spend "))))</f>
        <v/>
      </c>
      <c r="AT5" t="str" cm="1">
        <f t="array" ref="AT5">_xlfn.LET(_xlpm.BizCount, _xlfn.MAXIFS(_xlfn.ANCHORARRAY($AJ5),_xlfn.ANCHORARRAY($W5),_xlfn.ANCHORARRAY($AM5),_xlfn.ANCHORARRAY($X5),"out",_xlfn.ANCHORARRAY($Y5),"Labour"),IF(_xlpm.BizCount=1,"One Business would save ",IF(_xlpm.BizCount=0,"", IF(_xlpm.BizCount&lt;10, "Up to " &amp;INDEX(tbl_NumberWord[],_xlpm.BizCount,2)  &amp; " businesses would save ", "Up to " &amp; ROUND(_xlpm.BizCount,0) &amp; " businesses would save "))))</f>
        <v/>
      </c>
      <c r="AU5" t="str" cm="1">
        <f t="array" ref="AU5">_xlfn.LET(_xlpm.BizCount, _xlfn.MAXIFS(_xlfn.ANCHORARRAY($AJ5),_xlfn.ANCHORARRAY($W5),_xlfn.ANCHORARRAY($AM5),_xlfn.ANCHORARRAY($X5),"In",_xlfn.ANCHORARRAY($Y5),"Capital"),IF(_xlpm.BizCount=1,"One Business would spend ",IF(_xlpm.BizCount=0,"", IF(_xlpm.BizCount&lt;10, "Up to " &amp;INDEX(tbl_NumberWord[],_xlpm.BizCount,2)  &amp; " businesses would spend ", "Up to " &amp; ROUND(_xlpm.BizCount,0) &amp; " businesses would spend "))))</f>
        <v/>
      </c>
      <c r="AV5" t="str" cm="1">
        <f t="array" ref="AV5">_xlfn.LET(_xlpm.BizCount, _xlfn.MAXIFS(_xlfn.ANCHORARRAY($AJ5),_xlfn.ANCHORARRAY($W5),_xlfn.ANCHORARRAY($AM5),_xlfn.ANCHORARRAY($X5),"out",_xlfn.ANCHORARRAY($Y5),"Capital"),IF(_xlpm.BizCount=1,"One Business would save ",IF(_xlpm.BizCount=0,"", IF(_xlpm.BizCount&lt;10, "Up to " &amp;INDEX(tbl_NumberWord[],_xlpm.BizCount,2)  &amp; " businesses would save ", "Up to " &amp; ROUND(_xlpm.BizCount,0) &amp; " businesses would save "))))</f>
        <v/>
      </c>
      <c r="AW5" s="48" t="str" cm="1">
        <f t="array" ref="AW5">_xlfn.LET(_xlpm.AVGLabHours, SUMIFS(_xlfn.ANCHORARRAY($AC5),_xlfn.ANCHORARRAY($W5),_xlfn.ANCHORARRAY($AM5),_xlfn.ANCHORARRAY($X5),"in",_xlfn.ANCHORARRAY(AJ5),"&gt;0"), IF(_xlpm.AVGLabHours=0,"",IF(_xlpm.AVGLabHours&lt;1,_xlpm.AVGLabHours * 60 &amp; " minutes",IF(_xlpm.AVGLabHours=1, "one hour",IF(_xlpm.AVGLabHours&lt;10,INDEX(tbl_NumberWord[],_xlpm.AVGLabHours,2) &amp; " hours",_xlpm.AVGLabHours &amp;" hours"))) &amp; " to complete the task "))</f>
        <v/>
      </c>
      <c r="AX5" s="48" t="str" cm="1">
        <f t="array" ref="AX5">_xlfn.LET(_xlpm.AVGLabHours, SUMIFS(_xlfn.ANCHORARRAY($AC5),_xlfn.ANCHORARRAY($W5),_xlfn.ANCHORARRAY($AM5),_xlfn.ANCHORARRAY($X5),"out",_xlfn.ANCHORARRAY(AJ5),"&gt;0"), IF(_xlpm.AVGLabHours=0,"",IF(_xlpm.AVGLabHours&lt;1,_xlpm.AVGLabHours * 60 &amp; " minutes",IF(_xlpm.AVGLabHours=1, " one hour ",IF(_xlpm.AVGLabHours&lt;10,INDEX(tbl_NumberWord[],_xlpm.AVGLabHours,2) &amp; " hours",_xlpm.AVGLabHours &amp;" hours"))) &amp; " to complete the task "))</f>
        <v/>
      </c>
      <c r="AY5" s="48" t="str" cm="1">
        <f t="array" ref="AY5">_xlfn.LET(_xlpm.CapUnits, SUMIFS(_xlfn.ANCHORARRAY($AA5),_xlfn.ANCHORARRAY($W5),_xlfn.ANCHORARRAY($AM5),_xlfn.ANCHORARRAY($X5),"In",_xlfn.ANCHORARRAY(AJ5),"&gt;0"),IF(_xlpm.CapUnits=0,"",IF(_xlpm.CapUnits &lt;1, _xlpm.CapUnits &amp; " units ",IF(_xlpm.CapUnits =1, " one unit ",IF(_xlpm.CapUnits&lt;10,INDEX(tbl_NumberWord[],_xlpm.CapUnits,2) &amp; " units ", _xlpm.CapUnits &amp;" units ")))))</f>
        <v/>
      </c>
      <c r="AZ5" s="48" t="str" cm="1">
        <f t="array" ref="AZ5">_xlfn.LET(_xlpm.CapUnits, SUMIFS(_xlfn.ANCHORARRAY($AA5),_xlfn.ANCHORARRAY($W5),_xlfn.ANCHORARRAY($AM5),_xlfn.ANCHORARRAY($X5),"out",_xlfn.ANCHORARRAY(AJ5),"&gt;0"),IF(_xlpm.CapUnits=0,"",IF(_xlpm.CapUnits &lt;1, _xlpm.CapUnits &amp; " units ",IF(_xlpm.CapUnits =1, " one unit ",IF(_xlpm.CapUnits&lt;10,INDEX(tbl_NumberWord[],_xlpm.CapUnits,2) &amp; " units", _xlpm.CapUnits &amp;" units ")))))</f>
        <v/>
      </c>
      <c r="BA5" s="48" t="str" cm="1">
        <f t="array" ref="BA5">_xlfn.LET(_xlpm.LabFreq, _xlfn.MAXIFS(_xlfn.ANCHORARRAY($Z5),_xlfn.ANCHORARRAY($W5),_xlfn.ANCHORARRAY($AM5),_xlfn.ANCHORARRAY($X5),"In",_xlfn.ANCHORARRAY($Y5),"Labour",_xlfn.ANCHORARRAY(AJ5),"&gt;0"),IF(_xlpm.LabFreq=0,"",IF(_xlpm.LabFreq&lt;1, "Every " &amp; ROUND(1/_xlpm.LabFreq,0) &amp; " years. ",IF(_xlpm.LabFreq=1, "once per year. ",IF(_xlpm.LabFreq&lt;10,INDEX(tbl_NumberWord[],_xlpm.LabFreq,2),_xlpm.LabFreq &amp; " times per year. "))) ))</f>
        <v/>
      </c>
      <c r="BB5" s="48" t="str" cm="1">
        <f t="array" ref="BB5">_xlfn.LET(_xlpm.LabFreq, _xlfn.MAXIFS(_xlfn.ANCHORARRAY($Z5),_xlfn.ANCHORARRAY($W5),_xlfn.ANCHORARRAY($AM5),_xlfn.ANCHORARRAY($X5),"out",_xlfn.ANCHORARRAY($Y5),"Labour",_xlfn.ANCHORARRAY(AJ5),"&gt;0"),IF(_xlpm.LabFreq=0,"",IF(_xlpm.LabFreq&lt;1, "Every " &amp; ROUND(1/_xlpm.LabFreq,0) &amp; " years. ",IF(_xlpm.LabFreq=1, " once per year. ",IF(_xlpm.LabFreq&lt;10,INDEX(tbl_NumberWord[],_xlpm.LabFreq,2),_xlpm.LabFreq&amp; " times per year. "))) ))</f>
        <v/>
      </c>
      <c r="BC5" s="48" t="str" cm="1">
        <f t="array" ref="BC5">_xlfn.LET(_xlpm.LabFreq, _xlfn.MAXIFS(_xlfn.ANCHORARRAY($Z5),_xlfn.ANCHORARRAY($W5),_xlfn.ANCHORARRAY($AM5),_xlfn.ANCHORARRAY($X5),"in",_xlfn.ANCHORARRAY($Y5),"Capital",_xlfn.ANCHORARRAY(AJ5),"&gt;0"),IF(_xlpm.LabFreq=0,"",IF(_xlpm.LabFreq&lt;1, "every " &amp; ROUND(1/_xlpm.LabFreq,0) &amp; " years. ",IF(_xlpm.LabFreq=1, " once per year. ",IF(_xlpm.LabFreq&lt;10,INDEX(tbl_NumberWord[],_xlpm.LabFreq,2)&amp; " times per year. ",_xlpm.LabFreq&amp; " times per year. "))) ))</f>
        <v/>
      </c>
      <c r="BD5" s="48" t="str" cm="1">
        <f t="array" ref="BD5">_xlfn.LET(_xlpm.LabFreq, _xlfn.MAXIFS(_xlfn.ANCHORARRAY($Z5),_xlfn.ANCHORARRAY($W5),_xlfn.ANCHORARRAY($AM5),_xlfn.ANCHORARRAY($X5),"out",_xlfn.ANCHORARRAY($Y5),"Capital",_xlfn.ANCHORARRAY(AJ5),"&gt;0"),IF(_xlpm.LabFreq=0,"",IF(_xlpm.LabFreq&lt;1, "every " &amp; ROUND(1/_xlpm.LabFreq,0) &amp; " years. ",IF(_xlpm.LabFreq=1, " once per year. ",IF(_xlpm.LabFreq&lt;10,INDEX(tbl_NumberWord[],_xlpm.LabFreq,2)&amp; " times per year. ",_xlpm.LabFreq&amp; " times per year. "))) ))</f>
        <v/>
      </c>
      <c r="BE5" s="8" t="str" cm="1">
        <f t="array" ref="BE5">_xlfn.LET(_xlpm.AvgWage, IFERROR(SUMIFS(_xlfn.ANCHORARRAY($AF5),_xlfn.ANCHORARRAY($W5),_xlfn.ANCHORARRAY($AM5),_xlfn.ANCHORARRAY($Y5),"Labour",_xlfn.ANCHORARRAY($X5),"In",_xlfn.ANCHORARRAY(AJ5),"&gt;0")/SUMIFS(_xlfn.ANCHORARRAY($AE5),_xlfn.ANCHORARRAY($W5),_xlfn.ANCHORARRAY($AM5),_xlfn.ANCHORARRAY($Y5),"Labour",_xlfn.ANCHORARRAY($X5),"In",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out",_xlfn.ANCHORARRAY(AJ5),"&gt;0")/SUMIFS(_xlfn.ANCHORARRAY($AE5),_xlfn.ANCHORARRAY($W5),_xlfn.ANCHORARRAY($AM5),_xlfn.ANCHORARRAY($Y5),"Labour",_xlfn.ANCHORARRAY($X5),"out",_xlfn.ANCHORARRAY(AJ5),"&gt;0"),0), IF(_xlpm.AvgWage=0,"", "The average wage (including overhead) of the responsible individual is estimated to be " &amp; DOLLAR(_xlpm.AvgWage,2)&amp; ". "))</f>
        <v/>
      </c>
      <c r="BG5" s="166" t="str" cm="1">
        <f t="array" ref="BG5">_xlfn.LET(_xlpm.AvgCapCost, IFERROR(SUMIFS(_xlfn.ANCHORARRAY($AH5),_xlfn.ANCHORARRAY($W5),_xlfn.ANCHORARRAY($AM5),_xlfn.ANCHORARRAY($Y5),"capital",_xlfn.ANCHORARRAY($X5),"In",_xlfn.ANCHORARRAY(AJ5),"&gt;0")/SUMIFS(_xlfn.ANCHORARRAY($AG5),_xlfn.ANCHORARRAY($W5),_xlfn.ANCHORARRAY($AM5),_xlfn.ANCHORARRAY($Y5),"Capital",_xlfn.ANCHORARRAY($X5),"In",_xlfn.ANCHORARRAY(AJ5),"&gt;0"),0), IF(_xlpm.AvgCapCost=0,""," an average of " &amp; DOLLAR(_xlpm.AvgCapCost,2) &amp; " per unit to purchase"))</f>
        <v/>
      </c>
      <c r="BH5" s="7" t="str" cm="1">
        <f t="array" ref="BH5">_xlfn.LET(_xlpm.AvgCapCost, IFERROR(SUMIFS(_xlfn.ANCHORARRAY($AH5),_xlfn.ANCHORARRAY($W5),_xlfn.ANCHORARRAY($AM5),_xlfn.ANCHORARRAY($Y5),"capital",_xlfn.ANCHORARRAY($X5),"out",_xlfn.ANCHORARRAY(AJ5),"&gt;0")/SUMIFS(_xlfn.ANCHORARRAY($AG5),_xlfn.ANCHORARRAY($W5),_xlfn.ANCHORARRAY($AM5),_xlfn.ANCHORARRAY($Y5),"Capital",_xlfn.ANCHORARRAY($X5),"out",_xlfn.ANCHORARRAY(AJ5),"&gt;0"),0), IF(_xlpm.AvgCapCost=0,"","an average of " &amp; DOLLAR(_xlpm.AvgCapCost,2) &amp; " per unit. To purchase"))</f>
        <v/>
      </c>
      <c r="BI5" s="8"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Enteredrepresent an annualized total  of $0. 
</v>
      </c>
      <c r="BJ5" s="147"/>
      <c r="BK5" s="147" cm="1">
        <f t="array" ref="BK5">_xlfn.ANCHORARRAY(AN5)+_xlfn.ANCHORARRAY(AO5)+_xlfn.ANCHORARRAY(AP5)+_xlfn.ANCHORARRAY(AQ5)</f>
        <v>0</v>
      </c>
      <c r="BL5" t="str" cm="1">
        <f t="array" ref="BL5">_xlfn.ANCHORARRAY(BI5)</f>
        <v xml:space="preserve">The amendments related to Activity Name Not Enteredrepresent an annualized total  of $0. 
</v>
      </c>
      <c r="BM5" cm="1">
        <f t="array" ref="BM5:BN5">_xlfn._xlws.SORT(_xlfn.ANCHORARRAY(BK5):_xlfn.ANCHORARRAY(BL5),1,-1)</f>
        <v>0</v>
      </c>
      <c r="BN5" s="8" t="str">
        <v xml:space="preserve">The amendments related to Activity Name Not Enteredrepresent an annualized total  of $0. 
</v>
      </c>
    </row>
    <row r="6" spans="2:116" x14ac:dyDescent="0.25">
      <c r="C6" s="88">
        <v>0.04</v>
      </c>
      <c r="D6">
        <v>14</v>
      </c>
      <c r="E6">
        <v>2016</v>
      </c>
      <c r="F6">
        <v>2019</v>
      </c>
      <c r="G6">
        <v>2026</v>
      </c>
      <c r="I6" t="str">
        <v>05 Middle management occupations in retail and wholesale trade and customer services ($43.58)</v>
      </c>
      <c r="N6" s="1"/>
      <c r="R6" t="s">
        <v>239</v>
      </c>
      <c r="AB6" s="149"/>
      <c r="AN6" s="147"/>
      <c r="AO6" s="147"/>
      <c r="AR6" s="163"/>
      <c r="AX6" s="8"/>
      <c r="BF6" s="8"/>
      <c r="BG6" s="7"/>
      <c r="BH6" s="7"/>
      <c r="BI6" s="49"/>
    </row>
    <row r="7" spans="2:116" x14ac:dyDescent="0.25">
      <c r="C7" s="88">
        <v>0.05</v>
      </c>
      <c r="D7">
        <v>15</v>
      </c>
      <c r="E7">
        <v>2017</v>
      </c>
      <c r="F7">
        <v>2018</v>
      </c>
      <c r="G7">
        <v>2027</v>
      </c>
      <c r="I7" t="str">
        <v>06 Middle management occupations in trades, transportation, production and utilities ($51.21)</v>
      </c>
      <c r="N7" s="3"/>
      <c r="O7" s="3"/>
      <c r="P7" s="3"/>
      <c r="R7" t="s">
        <v>240</v>
      </c>
      <c r="AN7" s="147"/>
      <c r="AO7" s="147"/>
      <c r="BG7" s="7"/>
      <c r="BH7" s="7"/>
      <c r="BI7" s="8"/>
    </row>
    <row r="8" spans="2:116" x14ac:dyDescent="0.25">
      <c r="C8" s="88">
        <v>6.0000000000000005E-2</v>
      </c>
      <c r="D8">
        <v>16</v>
      </c>
      <c r="E8">
        <v>2018</v>
      </c>
      <c r="F8">
        <v>2017</v>
      </c>
      <c r="G8">
        <v>2028</v>
      </c>
      <c r="I8" t="str">
        <v>07 Business, finance and administration occupations ($33.14)</v>
      </c>
      <c r="N8" s="3"/>
      <c r="O8" s="3"/>
      <c r="P8" s="3"/>
      <c r="R8" t="s">
        <v>241</v>
      </c>
      <c r="AN8" s="147"/>
      <c r="AO8" s="147"/>
      <c r="BG8" s="7"/>
      <c r="BH8" s="7"/>
      <c r="BI8" s="8"/>
    </row>
    <row r="9" spans="2:116" x14ac:dyDescent="0.25">
      <c r="C9" s="88">
        <v>7.0000000000000007E-2</v>
      </c>
      <c r="D9">
        <v>17</v>
      </c>
      <c r="E9">
        <v>2019</v>
      </c>
      <c r="F9">
        <v>2016</v>
      </c>
      <c r="G9">
        <v>2029</v>
      </c>
      <c r="I9" t="str">
        <v>08 Professional occupations in business and finance ($43.39)</v>
      </c>
      <c r="R9" t="s">
        <v>242</v>
      </c>
      <c r="AN9" s="147"/>
      <c r="AO9" s="147"/>
      <c r="BG9" s="7"/>
      <c r="BH9" s="7"/>
      <c r="BI9" s="8"/>
    </row>
    <row r="10" spans="2:116" x14ac:dyDescent="0.25">
      <c r="C10" s="88">
        <v>0.08</v>
      </c>
      <c r="D10">
        <v>18</v>
      </c>
      <c r="E10">
        <v>2020</v>
      </c>
      <c r="F10">
        <v>2015</v>
      </c>
      <c r="G10">
        <v>2030</v>
      </c>
      <c r="I10" t="str">
        <v>09 Administrative and financial supervisors and administrative occupations ($32.05)</v>
      </c>
      <c r="P10" s="17"/>
      <c r="R10" t="str">
        <f>"The one-for-one rule applies. There is no incremental change in administrative burden on business. The proposal repeals "
&amp; IF('Initiative Details'!D9&gt;1, 'Initiative Details'!D9 &amp; " existing regulations ","an existing regulation ")
&amp; "and adds " &amp; IF('Initiative Details'!D10&gt;1, 'Initiative Details'!D10&amp; " new regulatory titles, ", "a new regulatory title, ") &amp; "which results in " &amp; IF('Initiative Details'!D10-'Initiative Details'!D9&lt;0, "a net decrease ",IF('Initiative Details'!D10-'Initiative Details'!D9&gt;0, "a net increase ", "no net increase or decrease in regulatory titles." )) &amp; "of " &amp; ABS('Initiative Details'!D9-'Initiative Details'!D10) &amp; " regulatory titles."</f>
        <v>The one-for-one rule applies. There is no incremental change in administrative burden on business. The proposal repeals an existing regulation and adds a new regulatory title, which results in no net increase or decrease in regulatory titles.of 0 regulatory titles.</v>
      </c>
      <c r="AN10" s="147"/>
      <c r="AO10" s="147"/>
      <c r="BG10" s="7"/>
      <c r="BH10" s="7"/>
      <c r="BI10" s="8"/>
    </row>
    <row r="11" spans="2:116" x14ac:dyDescent="0.25">
      <c r="C11" s="88">
        <v>0.09</v>
      </c>
      <c r="D11">
        <v>19</v>
      </c>
      <c r="E11">
        <v>2021</v>
      </c>
      <c r="F11">
        <v>2014</v>
      </c>
      <c r="G11">
        <v>2031</v>
      </c>
      <c r="I11" t="str">
        <v>10 Finance, insurance and related business administrative occupations ($32.53)</v>
      </c>
      <c r="AN11" s="147"/>
      <c r="AO11" s="147"/>
      <c r="BG11" s="7"/>
      <c r="BH11" s="7"/>
      <c r="BI11" s="8"/>
    </row>
    <row r="12" spans="2:116" ht="18" customHeight="1" x14ac:dyDescent="0.25">
      <c r="C12" s="88">
        <v>9.9999999999999992E-2</v>
      </c>
      <c r="D12">
        <v>20</v>
      </c>
      <c r="E12">
        <v>2022</v>
      </c>
      <c r="F12">
        <v>2013</v>
      </c>
      <c r="G12">
        <v>2032</v>
      </c>
      <c r="I12" t="str">
        <v>11 Office support occupations ($25.93)</v>
      </c>
      <c r="R12" s="8"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IOUT under the rule, and ",
"The one for one rule does not apply as the changes in adminitrative burden on business offset each other, and ")) &amp;
_xlfn.XLOOKUP('Initiative Details'!$D$6,Controls!$P$22:$P$26,Controls!$S$22:$S$26,"There is no change in the number of titles",0,1)</f>
        <v xml:space="preserve">The one for one rule does not apply as the changes in adminitrative burden on business offset each other, and no regulatory titles are repealed or introduced. </v>
      </c>
      <c r="S12" s="14"/>
      <c r="U12" s="14"/>
    </row>
    <row r="13" spans="2:116" ht="16.5" customHeight="1" x14ac:dyDescent="0.25">
      <c r="D13">
        <v>21</v>
      </c>
      <c r="E13">
        <v>2023</v>
      </c>
      <c r="F13">
        <v>2012</v>
      </c>
      <c r="G13">
        <v>2033</v>
      </c>
      <c r="I13" t="str">
        <v>12 Distribution, tracking and scheduling co-ordination occupations ($26.45)</v>
      </c>
      <c r="R13" s="49" t="str">
        <f>IF('Initiative Details'!$D$6=$P$22, "The amendments ", "The regulations ") &amp; "would result in an annualized administrative "
&amp; IF(AND(COUNTIF(tbl_Activities[In or Out],"out")&gt;0,COUNTIF(tbl_Activities[In or Out],"in")&gt;0),"net ","total ")
&amp;IF(OneForOneLanding&lt;0,"cost of ","cost savings of ")
&amp;DOLLAR(ABS(OneForOneLanding),0)
&amp; ". " &amp; CHAR(10) &amp; R14 &amp; CHAR(10)
&amp;IF(COUNTIF(tbl_Activities[In or Out],"out")&gt;0, "The total annualized cost savings from reduced administrative burden is estimated to be " &amp; DOLLAR('One-for-one'!N40,0) &amp; ". " &amp; CHAR(10),  "")
&amp; IF(COUNTIF(tbl_Activities[In or Out],"in")&gt;0,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Enteredrepresent an annualized total  of $0. 
</v>
      </c>
    </row>
    <row r="14" spans="2:116" x14ac:dyDescent="0.25">
      <c r="D14">
        <v>22</v>
      </c>
      <c r="E14">
        <v>2024</v>
      </c>
      <c r="F14">
        <v>2011</v>
      </c>
      <c r="I14" t="str">
        <v>13 Natural and applied sciences and related occupations ($44.37)</v>
      </c>
      <c r="R14" s="52"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14"/>
      <c r="BI14" s="8"/>
    </row>
    <row r="15" spans="2:116" x14ac:dyDescent="0.25">
      <c r="D15">
        <v>23</v>
      </c>
      <c r="E15">
        <v>2025</v>
      </c>
      <c r="F15">
        <v>2010</v>
      </c>
      <c r="I15" t="str">
        <v>14 Professional occupations in natural and applied sciences ($48.64)</v>
      </c>
    </row>
    <row r="16" spans="2:116" x14ac:dyDescent="0.25">
      <c r="D16">
        <v>24</v>
      </c>
      <c r="E16">
        <v>2026</v>
      </c>
      <c r="F16">
        <v>2009</v>
      </c>
      <c r="I16" t="str">
        <v>15 Technical occupations related to natural and applied sciences ($36.92)</v>
      </c>
      <c r="R16" t="s">
        <v>243</v>
      </c>
    </row>
    <row r="17" spans="4:21" x14ac:dyDescent="0.25">
      <c r="D17">
        <v>25</v>
      </c>
      <c r="E17">
        <v>2027</v>
      </c>
      <c r="F17">
        <v>2008</v>
      </c>
      <c r="I17" t="str">
        <v>16 Health occupations ($35.34)</v>
      </c>
      <c r="R17" t="s">
        <v>244</v>
      </c>
    </row>
    <row r="18" spans="4:21" x14ac:dyDescent="0.25">
      <c r="D18">
        <v>26</v>
      </c>
      <c r="E18">
        <v>2028</v>
      </c>
      <c r="F18">
        <v>2007</v>
      </c>
      <c r="I18" t="str">
        <v>17 Professional occupations in nursing ($43.92)</v>
      </c>
    </row>
    <row r="19" spans="4:21" x14ac:dyDescent="0.25">
      <c r="D19">
        <v>27</v>
      </c>
      <c r="E19">
        <v>2029</v>
      </c>
      <c r="F19">
        <v>2006</v>
      </c>
      <c r="I19" t="str">
        <v>18 Professional occupations in health (except nursing) ($46.16)</v>
      </c>
    </row>
    <row r="20" spans="4:21" x14ac:dyDescent="0.25">
      <c r="D20">
        <v>28</v>
      </c>
      <c r="E20">
        <v>2030</v>
      </c>
      <c r="F20">
        <v>2005</v>
      </c>
      <c r="I20" t="str">
        <v>19 Technical occupations in health ($33.05)</v>
      </c>
    </row>
    <row r="21" spans="4:21" x14ac:dyDescent="0.25">
      <c r="D21">
        <v>29</v>
      </c>
      <c r="E21">
        <v>2031</v>
      </c>
      <c r="F21">
        <v>2004</v>
      </c>
      <c r="I21" t="str">
        <v>20 Assisting occupations in support of health services ($24.59)</v>
      </c>
      <c r="Q21" t="s">
        <v>245</v>
      </c>
      <c r="R21" t="s">
        <v>246</v>
      </c>
      <c r="U21" t="str">
        <f>_xlfn.XLOOKUP('Initiative Details'!$D$6,Controls!$P$22:$P$26,Controls!$U$22:$U$26,0,0,1)</f>
        <v xml:space="preserve">The amendments related to </v>
      </c>
    </row>
    <row r="22" spans="4:21" x14ac:dyDescent="0.25">
      <c r="D22">
        <v>30</v>
      </c>
      <c r="E22">
        <v>2032</v>
      </c>
      <c r="F22">
        <v>2003</v>
      </c>
      <c r="I22" t="str">
        <v>21 Occupations in education, law and social, community and government services ($39.23)</v>
      </c>
      <c r="P22" t="s">
        <v>3</v>
      </c>
      <c r="Q22">
        <v>0</v>
      </c>
      <c r="R22">
        <v>0</v>
      </c>
      <c r="S22" t="s">
        <v>247</v>
      </c>
      <c r="U22" t="str">
        <f>"The amendments related to "</f>
        <v xml:space="preserve">The amendments related to </v>
      </c>
    </row>
    <row r="23" spans="4:21" x14ac:dyDescent="0.25">
      <c r="D23">
        <v>31</v>
      </c>
      <c r="E23">
        <v>2033</v>
      </c>
      <c r="F23">
        <v>2002</v>
      </c>
      <c r="I23" t="str">
        <v>22 Professional occupations in education services ($44.35)</v>
      </c>
      <c r="P23" t="s">
        <v>248</v>
      </c>
      <c r="Q23">
        <v>0</v>
      </c>
      <c r="R23">
        <v>1</v>
      </c>
      <c r="S23" t="s">
        <v>249</v>
      </c>
      <c r="U23" t="str">
        <f>"The new administrative requirements related to "</f>
        <v xml:space="preserve">The new administrative requirements related to </v>
      </c>
    </row>
    <row r="24" spans="4:21" x14ac:dyDescent="0.25">
      <c r="D24">
        <v>32</v>
      </c>
      <c r="E24">
        <v>2034</v>
      </c>
      <c r="I24" t="str">
        <v>23 Professional occupations in law and social, community and government services ($44.41)</v>
      </c>
      <c r="P24" t="s">
        <v>250</v>
      </c>
      <c r="Q24">
        <v>1</v>
      </c>
      <c r="R24">
        <v>0</v>
      </c>
      <c r="S24" t="s">
        <v>251</v>
      </c>
      <c r="U24" t="str">
        <f>" The repeal of administrative requirements related to "</f>
        <v xml:space="preserve"> The repeal of administrative requirements related to </v>
      </c>
    </row>
    <row r="25" spans="4:21" x14ac:dyDescent="0.25">
      <c r="D25">
        <v>33</v>
      </c>
      <c r="E25">
        <v>2035</v>
      </c>
      <c r="I25" t="str">
        <v>24 Paraprofessional occupations in legal, social, community and education services ($26.52)</v>
      </c>
      <c r="P25" t="s">
        <v>252</v>
      </c>
      <c r="Q25">
        <v>1</v>
      </c>
      <c r="R25">
        <v>1</v>
      </c>
      <c r="S25" t="s">
        <v>253</v>
      </c>
      <c r="U25" t="str">
        <f>"The administrative requirements related to "</f>
        <v xml:space="preserve">The administrative requirements related to </v>
      </c>
    </row>
    <row r="26" spans="4:21" x14ac:dyDescent="0.25">
      <c r="D26">
        <v>34</v>
      </c>
      <c r="E26">
        <v>2036</v>
      </c>
      <c r="I26" t="str">
        <v>25 Occupations in front-line public protection services ($49.20)</v>
      </c>
      <c r="P26" t="s">
        <v>254</v>
      </c>
      <c r="Q26" t="s">
        <v>255</v>
      </c>
      <c r="R26">
        <v>1</v>
      </c>
      <c r="S26" t="str">
        <f>_xlfn.CONCAT("the proposal repeals ", _xlfn.XLOOKUP('Initiative Details'!$D$9,$P$34:$P$43,Q34:Q43,'Initiative Details'!$D$9,0,1), " existing regulatory titles and adds ", _xlfn.XLOOKUP('Initiative Details'!$D$10,$P$34:$P$43,Q34:Q43,'Initiative Details'!$D$10,0,1), " new regulatory title; as a result, a net of ",_xlfn.XLOOKUP(ABS('Initiative Details'!$D$9 -'Initiative Details'!$D$10),$P$34:$P$43,Q34:Q43,ABS('Initiative Details'!$D$9 -'Initiative Details'!$D$10),0,1)," titles ", IF('Initiative Details'!$D$9 -'Initiative Details'!$D$10&lt;0,"in","out"),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4:21" x14ac:dyDescent="0.25">
      <c r="D27">
        <v>35</v>
      </c>
      <c r="E27">
        <v>2037</v>
      </c>
      <c r="I27" t="str">
        <v>26 Care providers and educational, legal and public protection support occupations ($26.47)</v>
      </c>
    </row>
    <row r="28" spans="4:21" x14ac:dyDescent="0.25">
      <c r="D28">
        <v>36</v>
      </c>
      <c r="E28">
        <v>2038</v>
      </c>
      <c r="I28" t="str">
        <v>27 Occupations in art, culture, recreation and sport ($31.49)</v>
      </c>
    </row>
    <row r="29" spans="4:21" x14ac:dyDescent="0.25">
      <c r="D29">
        <v>37</v>
      </c>
      <c r="E29">
        <v>2039</v>
      </c>
      <c r="I29" t="str">
        <v>28 Professional occupations in art and culture ($36.39)</v>
      </c>
    </row>
    <row r="30" spans="4:21" x14ac:dyDescent="0.25">
      <c r="D30">
        <v>38</v>
      </c>
      <c r="E30">
        <v>2040</v>
      </c>
      <c r="I30" t="str">
        <v>29 Technical occupations in art, culture, recreation and sport ($29.49)</v>
      </c>
    </row>
    <row r="31" spans="4:21" x14ac:dyDescent="0.25">
      <c r="D31">
        <v>39</v>
      </c>
      <c r="E31">
        <v>2041</v>
      </c>
      <c r="I31" t="str">
        <v>30 Sales and service occupations ($21.69)</v>
      </c>
    </row>
    <row r="32" spans="4:21" x14ac:dyDescent="0.25">
      <c r="D32">
        <v>40</v>
      </c>
      <c r="E32">
        <v>2042</v>
      </c>
      <c r="I32" t="str">
        <v>31 Retail sales supervisors and specialized sales occupations ($28.28)</v>
      </c>
    </row>
    <row r="33" spans="4:21" x14ac:dyDescent="0.25">
      <c r="D33">
        <v>41</v>
      </c>
      <c r="E33">
        <v>2043</v>
      </c>
      <c r="I33" t="str">
        <v>32 Service supervisors and specialized service occupations ($22.01)</v>
      </c>
      <c r="P33" t="s">
        <v>256</v>
      </c>
      <c r="Q33" t="s">
        <v>257</v>
      </c>
    </row>
    <row r="34" spans="4:21" x14ac:dyDescent="0.25">
      <c r="D34">
        <v>42</v>
      </c>
      <c r="E34">
        <v>2044</v>
      </c>
      <c r="I34" t="str">
        <v>33 Sales representatives and salespersons - wholesale and retail trade ($22.68)</v>
      </c>
      <c r="P34">
        <v>1</v>
      </c>
      <c r="Q34" t="s">
        <v>258</v>
      </c>
    </row>
    <row r="35" spans="4:21" x14ac:dyDescent="0.25">
      <c r="D35">
        <v>43</v>
      </c>
      <c r="E35">
        <v>2045</v>
      </c>
      <c r="I35" t="str">
        <v>34 Service representatives and other customer and personal services occupations ($21.82)</v>
      </c>
      <c r="P35">
        <v>2</v>
      </c>
      <c r="Q35" t="s">
        <v>259</v>
      </c>
    </row>
    <row r="36" spans="4:21" x14ac:dyDescent="0.25">
      <c r="D36">
        <v>44</v>
      </c>
      <c r="E36">
        <v>2046</v>
      </c>
      <c r="I36" t="str">
        <v>35 Sales support occupations ($17.14)</v>
      </c>
      <c r="P36">
        <v>3</v>
      </c>
      <c r="Q36" t="s">
        <v>260</v>
      </c>
      <c r="S36" s="7"/>
    </row>
    <row r="37" spans="4:21" x14ac:dyDescent="0.25">
      <c r="D37">
        <v>45</v>
      </c>
      <c r="E37">
        <v>2047</v>
      </c>
      <c r="I37" t="str">
        <v>36 Service support and other service occupations, n.e.c. ($19.46)</v>
      </c>
      <c r="P37">
        <v>4</v>
      </c>
      <c r="Q37" t="s">
        <v>261</v>
      </c>
    </row>
    <row r="38" spans="4:21" x14ac:dyDescent="0.25">
      <c r="D38">
        <v>46</v>
      </c>
      <c r="E38">
        <v>2048</v>
      </c>
      <c r="I38" t="str">
        <v>37 Trades, transport and equipment operators and related occupations ($31.81)</v>
      </c>
      <c r="P38">
        <v>5</v>
      </c>
      <c r="Q38" t="s">
        <v>262</v>
      </c>
    </row>
    <row r="39" spans="4:21" x14ac:dyDescent="0.25">
      <c r="D39">
        <v>47</v>
      </c>
      <c r="E39">
        <v>2049</v>
      </c>
      <c r="I39" t="str">
        <v>38 Industrial, electrical and construction trades ($35.58)</v>
      </c>
      <c r="P39">
        <v>6</v>
      </c>
      <c r="Q39" t="s">
        <v>263</v>
      </c>
    </row>
    <row r="40" spans="4:21" x14ac:dyDescent="0.25">
      <c r="D40">
        <v>48</v>
      </c>
      <c r="E40">
        <v>2050</v>
      </c>
      <c r="I40" t="str">
        <v>39 Maintenance and equipment operation trades ($36.11)</v>
      </c>
      <c r="P40">
        <v>7</v>
      </c>
      <c r="Q40" t="s">
        <v>264</v>
      </c>
    </row>
    <row r="41" spans="4:21" x14ac:dyDescent="0.25">
      <c r="D41">
        <v>49</v>
      </c>
      <c r="I41" t="str">
        <v>40 Other installers, repairers and servicers and material handlers ($24.55)</v>
      </c>
      <c r="P41">
        <v>8</v>
      </c>
      <c r="Q41" t="s">
        <v>265</v>
      </c>
    </row>
    <row r="42" spans="4:21" x14ac:dyDescent="0.25">
      <c r="D42">
        <v>50</v>
      </c>
      <c r="I42" t="str">
        <v>41 Transport and heavy equipment operation and related maintenance occupations ($27.68)</v>
      </c>
      <c r="P42">
        <v>9</v>
      </c>
      <c r="Q42" t="s">
        <v>266</v>
      </c>
      <c r="T42" s="19"/>
      <c r="U42" s="8"/>
    </row>
    <row r="43" spans="4:21" x14ac:dyDescent="0.25">
      <c r="D43">
        <v>51</v>
      </c>
      <c r="I43" t="str">
        <v>42 Trades helpers, construction labourers and related occupations ($26.73)</v>
      </c>
      <c r="P43">
        <v>10</v>
      </c>
      <c r="Q43" t="s">
        <v>267</v>
      </c>
      <c r="T43" s="8"/>
      <c r="U43" s="20"/>
    </row>
    <row r="44" spans="4:21" x14ac:dyDescent="0.25">
      <c r="D44">
        <v>52</v>
      </c>
      <c r="I44" t="str">
        <v>43 Natural resources, agriculture and related production occupations ($28.82)</v>
      </c>
      <c r="P44">
        <v>20</v>
      </c>
      <c r="Q44" t="s">
        <v>268</v>
      </c>
    </row>
    <row r="45" spans="4:21" x14ac:dyDescent="0.25">
      <c r="D45">
        <v>53</v>
      </c>
      <c r="I45" t="str">
        <v>44 Supervisors and technical occupations in natural resources, agriculture and related production ($39.19)</v>
      </c>
      <c r="P45">
        <v>30</v>
      </c>
      <c r="Q45" t="s">
        <v>269</v>
      </c>
    </row>
    <row r="46" spans="4:21" x14ac:dyDescent="0.25">
      <c r="D46">
        <v>54</v>
      </c>
      <c r="I46" t="str">
        <v>45 Workers in natural resources, agriculture and related production ($23.29)</v>
      </c>
      <c r="P46">
        <v>40</v>
      </c>
      <c r="Q46" t="s">
        <v>270</v>
      </c>
    </row>
    <row r="47" spans="4:21" x14ac:dyDescent="0.25">
      <c r="D47">
        <v>55</v>
      </c>
      <c r="I47" t="str">
        <v>46 Harvesting, landscaping and natural resources labourers ($23.48)</v>
      </c>
      <c r="P47">
        <v>50</v>
      </c>
      <c r="Q47" t="s">
        <v>271</v>
      </c>
    </row>
    <row r="48" spans="4:21" x14ac:dyDescent="0.25">
      <c r="D48">
        <v>56</v>
      </c>
      <c r="I48" t="str">
        <v>47 Occupations in manufacturing and utilities ($27.57)</v>
      </c>
      <c r="P48">
        <v>100</v>
      </c>
      <c r="Q48" t="s">
        <v>272</v>
      </c>
    </row>
    <row r="49" spans="4:19" x14ac:dyDescent="0.25">
      <c r="D49">
        <v>57</v>
      </c>
      <c r="I49" t="str">
        <v>48 Processing, manufacturing and utilities supervisors and central control operators ($38.89)</v>
      </c>
    </row>
    <row r="50" spans="4:19" x14ac:dyDescent="0.25">
      <c r="D50">
        <v>58</v>
      </c>
      <c r="I50" t="str">
        <v>49 Processing and manufacturing machine operators and related production workers ($24.82)</v>
      </c>
    </row>
    <row r="51" spans="4:19" x14ac:dyDescent="0.25">
      <c r="D51">
        <v>59</v>
      </c>
      <c r="I51" t="str">
        <v>50 Assemblers in manufacturing ($25.45)</v>
      </c>
    </row>
    <row r="52" spans="4:19" x14ac:dyDescent="0.25">
      <c r="D52">
        <v>60</v>
      </c>
      <c r="I52" t="str">
        <v>51 Labourers in processing, manufacturing and utilities ($21.76)</v>
      </c>
    </row>
    <row r="53" spans="4:19" x14ac:dyDescent="0.25">
      <c r="D53">
        <v>61</v>
      </c>
      <c r="I53" t="str">
        <v xml:space="preserve"> (custom wage not added yet)</v>
      </c>
    </row>
    <row r="54" spans="4:19" x14ac:dyDescent="0.25">
      <c r="D54">
        <v>62</v>
      </c>
      <c r="R54" s="51"/>
    </row>
    <row r="55" spans="4:19" x14ac:dyDescent="0.25">
      <c r="D55">
        <v>63</v>
      </c>
    </row>
    <row r="56" spans="4:19" x14ac:dyDescent="0.25">
      <c r="D56">
        <v>64</v>
      </c>
    </row>
    <row r="57" spans="4:19" x14ac:dyDescent="0.25">
      <c r="D57">
        <v>65</v>
      </c>
    </row>
    <row r="58" spans="4:19" x14ac:dyDescent="0.25">
      <c r="D58">
        <v>66</v>
      </c>
      <c r="P58" s="8"/>
      <c r="R58" s="18"/>
      <c r="S58" s="48"/>
    </row>
    <row r="59" spans="4:19" x14ac:dyDescent="0.25">
      <c r="D59">
        <v>67</v>
      </c>
      <c r="S59" s="48"/>
    </row>
    <row r="60" spans="4:19" x14ac:dyDescent="0.25">
      <c r="D60">
        <v>68</v>
      </c>
      <c r="S60" s="48"/>
    </row>
    <row r="61" spans="4:19" x14ac:dyDescent="0.25">
      <c r="D61">
        <v>69</v>
      </c>
    </row>
    <row r="62" spans="4:19" x14ac:dyDescent="0.25">
      <c r="D62">
        <v>70</v>
      </c>
    </row>
    <row r="63" spans="4:19" x14ac:dyDescent="0.25">
      <c r="D63">
        <v>71</v>
      </c>
    </row>
    <row r="64" spans="4:19" x14ac:dyDescent="0.25">
      <c r="D64">
        <v>72</v>
      </c>
      <c r="Q64" s="18"/>
      <c r="R64" s="7"/>
    </row>
    <row r="65" spans="4:4" x14ac:dyDescent="0.25">
      <c r="D65">
        <v>73</v>
      </c>
    </row>
    <row r="66" spans="4:4" x14ac:dyDescent="0.25">
      <c r="D66">
        <v>74</v>
      </c>
    </row>
    <row r="67" spans="4:4" x14ac:dyDescent="0.25">
      <c r="D67">
        <v>75</v>
      </c>
    </row>
    <row r="68" spans="4:4" x14ac:dyDescent="0.25">
      <c r="D68">
        <v>76</v>
      </c>
    </row>
    <row r="69" spans="4:4" x14ac:dyDescent="0.25">
      <c r="D69">
        <v>77</v>
      </c>
    </row>
    <row r="70" spans="4:4" x14ac:dyDescent="0.25">
      <c r="D70">
        <v>78</v>
      </c>
    </row>
    <row r="71" spans="4:4" x14ac:dyDescent="0.25">
      <c r="D71">
        <v>79</v>
      </c>
    </row>
    <row r="72" spans="4:4" x14ac:dyDescent="0.25">
      <c r="D72">
        <v>80</v>
      </c>
    </row>
    <row r="73" spans="4:4" x14ac:dyDescent="0.25">
      <c r="D73">
        <v>81</v>
      </c>
    </row>
    <row r="74" spans="4:4" x14ac:dyDescent="0.25">
      <c r="D74">
        <v>82</v>
      </c>
    </row>
    <row r="75" spans="4:4" x14ac:dyDescent="0.25">
      <c r="D75">
        <v>83</v>
      </c>
    </row>
    <row r="76" spans="4:4" x14ac:dyDescent="0.25">
      <c r="D76">
        <v>84</v>
      </c>
    </row>
    <row r="77" spans="4:4" x14ac:dyDescent="0.25">
      <c r="D77">
        <v>85</v>
      </c>
    </row>
    <row r="78" spans="4:4" x14ac:dyDescent="0.25">
      <c r="D78">
        <v>86</v>
      </c>
    </row>
    <row r="79" spans="4:4" x14ac:dyDescent="0.25">
      <c r="D79">
        <v>87</v>
      </c>
    </row>
    <row r="80" spans="4:4" x14ac:dyDescent="0.25">
      <c r="D80">
        <v>88</v>
      </c>
    </row>
    <row r="81" spans="4:4" x14ac:dyDescent="0.25">
      <c r="D81">
        <v>89</v>
      </c>
    </row>
    <row r="82" spans="4:4" x14ac:dyDescent="0.25">
      <c r="D82">
        <v>90</v>
      </c>
    </row>
    <row r="83" spans="4:4" x14ac:dyDescent="0.25">
      <c r="D83">
        <v>91</v>
      </c>
    </row>
    <row r="84" spans="4:4" x14ac:dyDescent="0.25">
      <c r="D84">
        <v>92</v>
      </c>
    </row>
    <row r="85" spans="4:4" x14ac:dyDescent="0.25">
      <c r="D85">
        <v>93</v>
      </c>
    </row>
    <row r="86" spans="4:4" x14ac:dyDescent="0.25">
      <c r="D86">
        <v>94</v>
      </c>
    </row>
    <row r="87" spans="4:4" x14ac:dyDescent="0.25">
      <c r="D87">
        <v>95</v>
      </c>
    </row>
    <row r="88" spans="4:4" x14ac:dyDescent="0.25">
      <c r="D88">
        <v>96</v>
      </c>
    </row>
    <row r="89" spans="4:4" x14ac:dyDescent="0.25">
      <c r="D89">
        <v>97</v>
      </c>
    </row>
    <row r="90" spans="4:4" x14ac:dyDescent="0.25">
      <c r="D90">
        <v>98</v>
      </c>
    </row>
    <row r="91" spans="4:4" x14ac:dyDescent="0.25">
      <c r="D91">
        <v>99</v>
      </c>
    </row>
    <row r="92" spans="4:4" x14ac:dyDescent="0.25">
      <c r="D92">
        <v>100</v>
      </c>
    </row>
  </sheetData>
  <dataValidations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ignoredErrors>
    <ignoredError sqref="O3"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6" ma:contentTypeDescription="Create a new document." ma:contentTypeScope="" ma:versionID="1cf1093b6e95b27effd58c33d657053e">
  <xsd:schema xmlns:xsd="http://www.w3.org/2001/XMLSchema" xmlns:xs="http://www.w3.org/2001/XMLSchema" xmlns:p="http://schemas.microsoft.com/office/2006/metadata/properties" xmlns:ns2="4e83f676-8cd4-4cac-9a4e-1c9624eae427" xmlns:ns3="2abf2189-68c2-4ddb-adff-1183eca9c339" targetNamespace="http://schemas.microsoft.com/office/2006/metadata/properties" ma:root="true" ma:fieldsID="9a5f54b11784ca58ce1d0b8490228745" ns2:_="" ns3:_="">
    <xsd:import namespace="4e83f676-8cd4-4cac-9a4e-1c9624eae427"/>
    <xsd:import namespace="2abf2189-68c2-4ddb-adff-1183eca9c3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D32C29-F255-44F0-B9AC-9CA1DD0AD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customXml/itemProps3.xml><?xml version="1.0" encoding="utf-8"?>
<ds:datastoreItem xmlns:ds="http://schemas.openxmlformats.org/officeDocument/2006/customXml" ds:itemID="{AAF567B0-53AE-4976-9FEF-74BC92060D80}">
  <ds:schemaRefs>
    <ds:schemaRef ds:uri="http://schemas.microsoft.com/DataMashup"/>
  </ds:schemaRefs>
</ds:datastoreItem>
</file>

<file path=customXml/itemProps4.xml><?xml version="1.0" encoding="utf-8"?>
<ds:datastoreItem xmlns:ds="http://schemas.openxmlformats.org/officeDocument/2006/customXml" ds:itemID="{D95EDFCC-17C6-45ED-BE18-15C465AE308F}">
  <ds:schemaRefs>
    <ds:schemaRef ds:uri="http://schemas.openxmlformats.org/package/2006/metadata/core-properties"/>
    <ds:schemaRef ds:uri="http://purl.org/dc/elements/1.1/"/>
    <ds:schemaRef ds:uri="http://schemas.microsoft.com/office/2006/metadata/properties"/>
    <ds:schemaRef ds:uri="http://purl.org/dc/dcmitype/"/>
    <ds:schemaRef ds:uri="4e83f676-8cd4-4cac-9a4e-1c9624eae427"/>
    <ds:schemaRef ds:uri="http://schemas.microsoft.com/office/2006/documentManagement/types"/>
    <ds:schemaRef ds:uri="http://schemas.microsoft.com/office/infopath/2007/PartnerControls"/>
    <ds:schemaRef ds:uri="2abf2189-68c2-4ddb-adff-1183eca9c339"/>
    <ds:schemaRef ds:uri="http://www.w3.org/XML/1998/namespace"/>
    <ds:schemaRef ds:uri="http://purl.org/dc/terms/"/>
  </ds:schemaRefs>
</ds:datastoreItem>
</file>

<file path=customXml/itemProps5.xml><?xml version="1.0" encoding="utf-8"?>
<ds:datastoreItem xmlns:ds="http://schemas.openxmlformats.org/officeDocument/2006/customXml" ds:itemID="{61DE3F70-04F7-4834-A5AB-CF57101158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Read Me</vt:lpstr>
      <vt:lpstr>Initiative Details</vt:lpstr>
      <vt:lpstr>Stakeholder Profile</vt:lpstr>
      <vt:lpstr>Activities</vt:lpstr>
      <vt:lpstr>One-for-one</vt:lpstr>
      <vt:lpstr>Small Business Lens</vt:lpstr>
      <vt:lpstr>Annual Stakeholder Count</vt:lpstr>
      <vt:lpstr>Net Impacts</vt:lpstr>
      <vt:lpstr>Net Impacts by Activity</vt:lpstr>
      <vt:lpstr>Net Impacts by Stakeholder</vt:lpstr>
      <vt:lpstr>Labour</vt:lpstr>
      <vt:lpstr>CPI</vt:lpstr>
      <vt:lpstr>Full Output</vt:lpstr>
      <vt:lpstr>Controls</vt:lpstr>
      <vt:lpstr>ActivityLanding</vt:lpstr>
      <vt:lpstr>AF</vt:lpstr>
      <vt:lpstr>AF_7_10</vt:lpstr>
      <vt:lpstr>AnnualStakeholderCounts</vt:lpstr>
      <vt:lpstr>Custom_Labour</vt:lpstr>
      <vt:lpstr>Discount</vt:lpstr>
      <vt:lpstr>FormulasLanding</vt:lpstr>
      <vt:lpstr>FullOutputLanding</vt:lpstr>
      <vt:lpstr>ImpactsByActivityLanding</vt:lpstr>
      <vt:lpstr>ImpactsByStakeholderLanding</vt:lpstr>
      <vt:lpstr>InitiativeDetailsLanding</vt:lpstr>
      <vt:lpstr>List_Amendment_Repeal</vt:lpstr>
      <vt:lpstr>List_New_Regulation_Repeal</vt:lpstr>
      <vt:lpstr>List_Repeal_and_Replace_Repeal</vt:lpstr>
      <vt:lpstr>List_Repeal_Only</vt:lpstr>
      <vt:lpstr>NetImpactsLanding</vt:lpstr>
      <vt:lpstr>OneForOneLanding</vt:lpstr>
      <vt:lpstr>OneforOneText</vt:lpstr>
      <vt:lpstr>PriceYear</vt:lpstr>
      <vt:lpstr>PVBaseYear</vt:lpstr>
      <vt:lpstr>SBLLanding</vt:lpstr>
      <vt:lpstr>StakeholderProfileLanding</vt:lpstr>
      <vt:lpstr>TenCount</vt:lpstr>
      <vt:lpstr>Timeperiod</vt:lpstr>
      <vt:lpstr>YearOfRegistration</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Reid, Andrew AR [NC]</cp:lastModifiedBy>
  <cp:revision/>
  <dcterms:created xsi:type="dcterms:W3CDTF">2024-04-02T17:30:06Z</dcterms:created>
  <dcterms:modified xsi:type="dcterms:W3CDTF">2024-07-02T19:00:33Z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